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mc:AlternateContent xmlns:mc="http://schemas.openxmlformats.org/markup-compatibility/2006">
    <mc:Choice Requires="x15">
      <x15ac:absPath xmlns:x15ac="http://schemas.microsoft.com/office/spreadsheetml/2010/11/ac" url="C:\Users\dembinskij\Desktop\"/>
    </mc:Choice>
  </mc:AlternateContent>
  <xr:revisionPtr revIDLastSave="0" documentId="8_{FECB3B5C-D23C-470B-8065-30940B85ACE3}" xr6:coauthVersionLast="47" xr6:coauthVersionMax="47" xr10:uidLastSave="{00000000-0000-0000-0000-000000000000}"/>
  <bookViews>
    <workbookView xWindow="-120" yWindow="-120" windowWidth="29040" windowHeight="15840" tabRatio="751" activeTab="31" xr2:uid="{00000000-000D-0000-FFFF-FFFF00000000}"/>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DATA_FORMS" sheetId="11" state="hidden" r:id="rId11"/>
    <sheet name="DATA_NPA" sheetId="12" state="hidden" r:id="rId12"/>
    <sheet name="TEHSHEET" sheetId="13" state="hidden" r:id="rId13"/>
    <sheet name="et_union_hor" sheetId="14" state="hidden" r:id="rId14"/>
    <sheet name="Договоры" sheetId="15" state="hidden" r:id="rId15"/>
    <sheet name="ТС. Т-ТЭ | &gt;=25МВт" sheetId="16" state="hidden" r:id="rId16"/>
    <sheet name="ТС. Т-ТЭ | ТСО" sheetId="17" state="hidden" r:id="rId17"/>
    <sheet name="ТС. Резерв мощности" sheetId="18" state="hidden" r:id="rId18"/>
    <sheet name="ТС. Т-ТН" sheetId="19" state="hidden" r:id="rId19"/>
    <sheet name="ТС. Т-передача ТЭ" sheetId="20" state="hidden" r:id="rId20"/>
    <sheet name="ТС. Т-передача ТН" sheetId="21" state="hidden" r:id="rId21"/>
    <sheet name="ТС. Т-гор.вода" sheetId="22" state="hidden" r:id="rId22"/>
    <sheet name="ТС. Т-подкл" sheetId="23" state="hidden" r:id="rId23"/>
    <sheet name="Т-ТЭ | потр" sheetId="24" state="hidden" r:id="rId24"/>
    <sheet name="Т-ТЭ | предел" sheetId="25" state="hidden" r:id="rId25"/>
    <sheet name="Т-ТЭ | индикат" sheetId="26" state="hidden" r:id="rId26"/>
    <sheet name="Т-подкл(инд)" sheetId="27" state="hidden" r:id="rId27"/>
    <sheet name="Порядок ТП" sheetId="28" state="hidden" r:id="rId28"/>
    <sheet name="Сведения о закупках" sheetId="29" state="hidden" r:id="rId29"/>
    <sheet name="modMainProcedures" sheetId="30" state="hidden" r:id="rId30"/>
    <sheet name="Потребительские характеристики" sheetId="31" r:id="rId31"/>
    <sheet name="ТП" sheetId="32" r:id="rId32"/>
    <sheet name="Ограничения" sheetId="33" r:id="rId33"/>
    <sheet name="Предложение" sheetId="34" state="hidden" r:id="rId34"/>
    <sheet name="ХВС. Т-пит" sheetId="35" state="hidden" r:id="rId35"/>
    <sheet name="ХВС. Т-тех" sheetId="36" state="hidden" r:id="rId36"/>
    <sheet name="ХВС. Т-транс" sheetId="37" state="hidden" r:id="rId37"/>
    <sheet name="ХВС. Т-подвоз" sheetId="38" state="hidden" r:id="rId38"/>
    <sheet name="ХВС. Т-подкл" sheetId="39" state="hidden" r:id="rId39"/>
    <sheet name="Показатели ФХД" sheetId="40" state="hidden" r:id="rId40"/>
    <sheet name="Показатели ФХД &gt;20%" sheetId="41" state="hidden" r:id="rId41"/>
    <sheet name="ТКО. Показатели ФХД" sheetId="42" state="hidden" r:id="rId42"/>
    <sheet name="ТКО. Транс. Показатели ФХД" sheetId="43" state="hidden" r:id="rId43"/>
    <sheet name="Показатели КНЭ" sheetId="44" state="hidden" r:id="rId44"/>
    <sheet name="ИП" sheetId="45" state="hidden" r:id="rId45"/>
    <sheet name="ИП. Детализация" sheetId="46" state="hidden" r:id="rId46"/>
    <sheet name="ИП. Финансовый план" sheetId="47" state="hidden" r:id="rId47"/>
    <sheet name="ИП. КНЭ" sheetId="48" state="hidden" r:id="rId48"/>
    <sheet name="ГВС. Т-гор.вода" sheetId="49" state="hidden" r:id="rId49"/>
    <sheet name="ГВС. Т-транс" sheetId="50" state="hidden" r:id="rId50"/>
    <sheet name="ГВС. Т-подкл" sheetId="51" state="hidden" r:id="rId51"/>
    <sheet name="ВО. Т-во" sheetId="52" state="hidden" r:id="rId52"/>
    <sheet name="ВО. Т-транс" sheetId="53" state="hidden" r:id="rId53"/>
    <sheet name="ВО. Т-подкл" sheetId="54" state="hidden" r:id="rId54"/>
    <sheet name="modB_FHD" sheetId="55" state="hidden" r:id="rId55"/>
    <sheet name="modB_FHD20" sheetId="56" state="hidden" r:id="rId56"/>
    <sheet name="modB_KNE" sheetId="57" state="hidden" r:id="rId57"/>
    <sheet name="modIP_MAIN" sheetId="58" state="hidden" r:id="rId58"/>
    <sheet name="modIP_QRE" sheetId="59" state="hidden" r:id="rId59"/>
    <sheet name="modIP_DETAILED" sheetId="60" state="hidden" r:id="rId60"/>
    <sheet name="ЭД" sheetId="61" state="hidden" r:id="rId61"/>
    <sheet name="Сведения об изменении" sheetId="62" state="hidden" r:id="rId62"/>
    <sheet name="Орган регулирования" sheetId="63" state="hidden" r:id="rId63"/>
    <sheet name="Перечень организаций" sheetId="64" state="hidden" r:id="rId64"/>
    <sheet name="Дела об установлении тарифов" sheetId="65" state="hidden" r:id="rId65"/>
    <sheet name="Привлечение к ответственности" sheetId="66" state="hidden" r:id="rId66"/>
    <sheet name="Комментарии" sheetId="67" r:id="rId67"/>
    <sheet name="Проверка" sheetId="68" state="hidden" r:id="rId68"/>
    <sheet name="et_union_vert" sheetId="69" state="hidden" r:id="rId69"/>
    <sheet name="Легенда" sheetId="70" state="hidden" r:id="rId70"/>
    <sheet name="modfrmListIP" sheetId="71" state="hidden" r:id="rId71"/>
    <sheet name="modfrmActivity" sheetId="72" state="hidden" r:id="rId72"/>
    <sheet name="REESTR_ORG" sheetId="73" state="hidden" r:id="rId73"/>
    <sheet name="REESTR_MO" sheetId="74" state="hidden" r:id="rId74"/>
    <sheet name="REESTR_IP" sheetId="75" state="hidden" r:id="rId75"/>
    <sheet name="REESTR_OBJ_INFR" sheetId="76" state="hidden" r:id="rId76"/>
    <sheet name="REESTR_DS" sheetId="77" state="hidden" r:id="rId77"/>
    <sheet name="REESTR_VT" sheetId="78" state="hidden" r:id="rId78"/>
    <sheet name="REESTR_VED" sheetId="79" state="hidden" r:id="rId79"/>
    <sheet name="REESTR_MO_FILTER" sheetId="80" state="hidden" r:id="rId80"/>
    <sheet name="REESTR_LINK" sheetId="81" state="hidden" r:id="rId81"/>
    <sheet name="modSheetMain" sheetId="82" state="hidden" r:id="rId82"/>
    <sheet name="modfrmReportMode" sheetId="83" state="hidden" r:id="rId83"/>
    <sheet name="modfrmReestrObj" sheetId="84" state="hidden" r:id="rId84"/>
    <sheet name="AllSheetsInThisWorkbook" sheetId="85" state="hidden" r:id="rId85"/>
    <sheet name="modInfo" sheetId="86" state="hidden" r:id="rId86"/>
  </sheets>
  <definedNames>
    <definedName name="_xlnm._FilterDatabase" localSheetId="67">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Титульный!$48:$58</definedName>
    <definedName name="BLOCK_BALANCE_TKO_FLAG_TRANS">Титульный!$59:$60</definedName>
    <definedName name="BLOCK_CONNECTION_STATE">Титульный!$46:$47</definedName>
    <definedName name="BLOCK_DIFF_CS">Титульный!$38:$39</definedName>
    <definedName name="BLOCK_DIFFERENTIATION_NOT_TKO">Дифференциация!$J:$M</definedName>
    <definedName name="BLOCK_FIRST_TARIFF">Титульный!$18:$22</definedName>
    <definedName name="BLOCK_FIRST_TARIFF_OREG_PUBL">Титульный!$21:$22</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Титульный!$11:$11</definedName>
    <definedName name="BLOCK_PERIOD_QUARTER">Титульный!$13:$13</definedName>
    <definedName name="BLOCK_PERIOD_TWO_DATA">Титульный!$9:$10</definedName>
    <definedName name="BLOCK_PERIOD_YEAR">Титульный!$12:$12</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Титульный!$40:$45</definedName>
    <definedName name="BLOCK_PRICE_IST_TE">'Перечень тарифов'!$S:$V</definedName>
    <definedName name="BLOCK_PRICE_REQUEST">Титульный!$18:$22</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Титульный!$57:$58</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WARM_ORG_TYPE">Титульный!$34:$34</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TEHSHEET!$BT$19:$BT$21</definedName>
    <definedName name="COLDVSNA_PT_VED_NAME">TEHSHEET!$BU$19:$BU$21</definedName>
    <definedName name="COLDVSNA_PT_VED_NAME_LIST">TEHSHEET!$BT$19:$BU$21</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et_union_hor!$115:$123</definedName>
    <definedName name="et_B_FHD20_1_NOT_HEAT">et_union_hor!$103:$111</definedName>
    <definedName name="et_B_FHD20_2">et_union_hor!$127:$130</definedName>
    <definedName name="et_B_FHD20_3">et_union_hor!$135:$136</definedName>
    <definedName name="et_B_FHD20_4">et_union_hor!$138:$138</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et_union_hor!$25:$26</definedName>
    <definedName name="et_DIFFERENTIATION_SYSTEM">et_union_hor!$30:$30</definedName>
    <definedName name="et_DIFFERENTIATION_TARIFF_COLOR">et_union_hor!$H$142:$W$146</definedName>
    <definedName name="et_DIFFERENTIATION_TARIFF_CS">et_union_hor!$157:$158</definedName>
    <definedName name="et_DIFFERENTIATION_TARIFF_IST_TE">et_union_hor!$160:$160</definedName>
    <definedName name="et_DIFFERENTIATION_TARIFF_NOT_COLOR">et_union_hor!$H$182:$W$186</definedName>
    <definedName name="et_DIFFERENTIATION_TARIFF_NOT_HEAT_COLOR">et_union_hor!$H$164:$W$168</definedName>
    <definedName name="et_DIFFERENTIATION_TARIFF_NOT_HEAT_CS">et_union_hor!$179:$180</definedName>
    <definedName name="et_DIFFERENTIATION_TARIFF_NOT_HEAT_NTAR">et_union_hor!$170:$173</definedName>
    <definedName name="et_DIFFERENTIATION_TARIFF_NOT_HEAT_TER">et_union_hor!$175:$177</definedName>
    <definedName name="et_DIFFERENTIATION_TARIFF_NOT_HEAT_VTAR">et_union_hor!$164:$168</definedName>
    <definedName name="et_DIFFERENTIATION_TARIFF_NTAR">et_union_hor!$148:$151</definedName>
    <definedName name="et_DIFFERENTIATION_TARIFF_TER">et_union_hor!$153:$155</definedName>
    <definedName name="et_DIFFERENTIATION_TARIFF_VTAR">et_union_hor!$142:$146</definedName>
    <definedName name="et_DIFFERENTIATION_TKO_CLASS_TKO">et_union_hor!$190:$190</definedName>
    <definedName name="et_DIFFERENTIATION_TKO_COLOR">et_union_hor!$H$190:$AI$195</definedName>
    <definedName name="et_DIFFERENTIATION_TKO_NOT_COLOR">et_union_hor!$H$197:$AI$202</definedName>
    <definedName name="et_DIFFERENTIATION_TKO_NTAR">et_union_hor!$190:$194</definedName>
    <definedName name="et_DIFFERENTIATION_TKO_TER">et_union_hor!$190:$192</definedName>
    <definedName name="et_DIFFERENTIATION_TKO_TO">et_union_hor!$190:$193</definedName>
    <definedName name="et_DIFFERENTIATION_TKO_TYPE_TKO">et_union_hor!$190:$191</definedName>
    <definedName name="et_DIFFERENTIATION_TKO_VTAR">et_union_hor!$190:$195</definedName>
    <definedName name="et_DIFFERENTIATION_VD">et_union_hor!$19:$21</definedName>
    <definedName name="et_ED">et_union_hor!$52:$52</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et_union_hor!$69:$75</definedName>
    <definedName name="et_IP_DETAILED_EVENT">et_union_hor!$89:$93</definedName>
    <definedName name="et_IP_DETAILED_IST_FIN">et_union_hor!$85:$85</definedName>
    <definedName name="et_IP_DETAILED_OBJECT">et_union_hor!$79:$81</definedName>
    <definedName name="et_IP_DETAILED_YEAR">et_union_hor!$70:$75</definedName>
    <definedName name="et_IP_MAIN">et_union_hor!$60:$61</definedName>
    <definedName name="et_IP_MAIN_PROPERTY">et_union_hor!$65:$65</definedName>
    <definedName name="et_IP_QRE">et_union_hor!$97:$99</definedName>
    <definedName name="et_IP_QRE_CLAIM">et_union_hor!$98:$98</definedName>
    <definedName name="et_List02">et_union_hor!$142:$146</definedName>
    <definedName name="et_List02_1_wd">et_union_hor!$182:$185</definedName>
    <definedName name="et_List02_2_wd">et_union_hor!$182:$184</definedName>
    <definedName name="et_List02_3_wd">et_union_hor!$182:$183</definedName>
    <definedName name="et_List02_4_wd">et_union_hor!$182:$182</definedName>
    <definedName name="et_List02_changeColor_1">et_union_hor!$J$142:$J$145</definedName>
    <definedName name="et_List02_changeColor_1_wd">et_union_hor!$J$182:$J$185</definedName>
    <definedName name="et_List02_changeColor_2">et_union_hor!$N$142:$N$144</definedName>
    <definedName name="et_List02_changeColor_2_wd">et_union_hor!$N$182:$N$184</definedName>
    <definedName name="et_List02_changeColor_3">et_union_hor!$R$142:$R$143</definedName>
    <definedName name="et_List02_changeColor_3_wd">et_union_hor!$R$182:$R$183</definedName>
    <definedName name="et_List02_changeColor_4">et_union_hor!$V$142</definedName>
    <definedName name="et_List02_changeColor_4_wd">et_union_hor!$V$182</definedName>
    <definedName name="et_List02_wd">et_union_hor!$182:$186</definedName>
    <definedName name="et_ORG_INFO_1">et_union_hor!$35:$35</definedName>
    <definedName name="et_ORG_INFO_2">et_union_hor!$39:$39</definedName>
    <definedName name="et_ORG_TERRITORY_MO">et_union_hor!$44:$44</definedName>
    <definedName name="et_ORG_TERRITORY_MO_FLAG_INTERNET">et_union_hor!$J$44</definedName>
    <definedName name="et_ORG_TERRITORY_MO_LINK">et_union_hor!$K$44</definedName>
    <definedName name="et_ORG_VD">et_union_hor!$48:$48</definedName>
    <definedName name="et_ORG_VD_COLDVSNA">et_union_hor!$X$48:$Z$48</definedName>
    <definedName name="et_ORG_VD_FIRST_SYSTEM">et_union_hor!$E$48</definedName>
    <definedName name="et_ORG_VD_HEAT">et_union_hor!$H$48:$R$48</definedName>
    <definedName name="et_ORG_VD_HOTVSNA">et_union_hor!$AB$48:$AC$48</definedName>
    <definedName name="et_ORG_VD_TKO_ACTIVITY">'Виды объектов'!$2:$3</definedName>
    <definedName name="et_ORG_VD_TKO_TYPE_OBJECT">'Виды объектов'!$2:$2</definedName>
    <definedName name="et_ORG_VD_VOTV">et_union_hor!$T$48:$V$48</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et_union_hor!$56:$56</definedName>
    <definedName name="et_Q_TP_DIFFERENTIATION">ТП!$G:$G</definedName>
    <definedName name="et_QRE">et_union_hor!$97:$99</definedName>
    <definedName name="et_QRE_CLAIM">et_union_hor!$98:$98</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et_union_hor!$56:$56</definedName>
    <definedName name="et_TERRITORY_AREA">et_union_hor!$13:$15</definedName>
    <definedName name="et_TERRITORY_MO">et_union_hor!$14:$14</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Титульный!$F$13</definedName>
    <definedName name="f_year">Титульный!$F$12</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Титульный!$F$30</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Титульный!$F$31</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Титульный!$F$32</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Титульный!$F$35</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rg">Титульный!$F$29</definedName>
    <definedName name="Org_Address">Титульный!$F$62:$F$62</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Титульный!$F$63</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Титульный!$F$65:$F$68</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Титульный!$F$10</definedName>
    <definedName name="PeriodIsEmpty">TEHSHEET!$I$45</definedName>
    <definedName name="PeriodIsEmptyList">TEHSHEET!$I$46:$I$53</definedName>
    <definedName name="periodStart">Титульный!$F$9</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HOTVSNA">'ГВС. Т-гор.вода'!$T$53</definedName>
    <definedName name="pIns_PT_VTAR_A_VOTV">'ВО. Т-во'!$T$53</definedName>
    <definedName name="pIns_PT_VTAR_B">'ТС. Т-ТЭ | ТСО'!$T$57</definedName>
    <definedName name="pIns_PT_VTAR_B_COLDVSNA">'ХВС. Т-тех'!$T$53</definedName>
    <definedName name="pIns_PT_VTAR_B_HOTVSNA">'ГВС. Т-транс'!$T$53</definedName>
    <definedName name="pIns_PT_VTAR_B_VOTV">'ВО. Т-транс'!$T$53</definedName>
    <definedName name="pIns_PT_VTAR_C">'ТС. Т-ТН'!$T$57</definedName>
    <definedName name="pIns_PT_VTAR_C_COLDVSNA">'ХВС. Т-транс'!$T$53</definedName>
    <definedName name="pIns_PT_VTAR_C_HOTVSNA">'ГВС. Т-подкл'!$T$63</definedName>
    <definedName name="pIns_PT_VTAR_C_VOTV">'ВО. Т-подкл'!$T$63</definedName>
    <definedName name="pIns_PT_VTAR_D">'ТС. Т-гор.вода'!$V$65</definedName>
    <definedName name="pIns_PT_VTAR_D_COLDVSNA">'ХВС. Т-подвоз'!$T$53</definedName>
    <definedName name="pIns_PT_VTAR_E_COLDVSNA">'ХВС. Т-подкл'!$T$63</definedName>
    <definedName name="pIns_PT_VTAR_E1">'ТС. Т-передача ТЭ'!$T$57</definedName>
    <definedName name="pIns_PT_VTAR_E2">'ТС. Т-передача ТН'!$T$57</definedName>
    <definedName name="pIns_PT_VTAR_F">'ТС. Резерв мощности'!$T$57</definedName>
    <definedName name="pIns_PT_VTAR_G">'ТС. Т-подкл'!$T$62</definedName>
    <definedName name="pIns_Q_LIMIT_1">Ограничения!$E$33</definedName>
    <definedName name="pIns_Q_LIMIT_2">Ограничения!$E$35</definedName>
    <definedName name="pIns_Q_LIMIT_3">Ограничения!$E$37</definedName>
    <definedName name="pIns_Q_LIMIT_4">Ограничения!$E$41</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Ограничения!$E$32:$K$41</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EESTR_IP_RANGE">REESTR_IP!$A$2:$D$72</definedName>
    <definedName name="REESTR_LINK_RANGE">REESTR_LINK!$A$2:$C$3</definedName>
    <definedName name="REESTR_VT_RANGE">REESTR_VT!$A$2:$B$11</definedName>
    <definedName name="REGION">TEHSHEET!$A$2:$A$87</definedName>
    <definedName name="region_name">Титульный!$F$7</definedName>
    <definedName name="RegulatoryPeriod">Титульный!$F$9:$F$10</definedName>
    <definedName name="ReportPeriod">Титульный!$F$9:$F$13</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Титульный!$F$51</definedName>
    <definedName name="TITLE_CONNECTION_FLAG">Титульный!$F$47</definedName>
    <definedName name="TITLE_DATA_TYPE">Титульный!$F$15</definedName>
    <definedName name="TITLE_DATE_BUHG">Титульный!$F$52</definedName>
    <definedName name="TITLE_DATE_CHANGE">Титульный!$F$16</definedName>
    <definedName name="TITLE_DATE_CHANGE_PERIOD">Титульный!$F$17</definedName>
    <definedName name="TITLE_DATE_FIL">Титульный!$F$11</definedName>
    <definedName name="TITLE_DATE_PARKING">Титульный!$H$5</definedName>
    <definedName name="TITLE_DATE_PR">Титульный!$F$19</definedName>
    <definedName name="TITLE_DATE_PR_CHANGE">Титульный!$F$25</definedName>
    <definedName name="TITLE_DIFFERENTIATION_TYPE">Титульный!$F$39</definedName>
    <definedName name="TITLE_FIL_YEAR">Титульный!$F$12</definedName>
    <definedName name="TITLE_FLAG_DIFF_SELLER">Титульный!$F$44</definedName>
    <definedName name="TITLE_FLAG_INTERNET">Титульный!$F$37</definedName>
    <definedName name="TITLE_FLAG_IP">Титульный!$F$56</definedName>
    <definedName name="TITLE_FLAG_IP_DETAILED">Титульный!$F$58</definedName>
    <definedName name="TITLE_FLAG_NO_DIFF_COMPONENT">Титульный!$F$45</definedName>
    <definedName name="TITLE_FLAG_NOT_REG_PRICE">Титульный!$F$49</definedName>
    <definedName name="TITLE_FLAG_REG_PRICE_IP">Титульный!$F$57</definedName>
    <definedName name="TITLE_FLAG_TKO_TRANS">Титульный!$F$60</definedName>
    <definedName name="TITLE_FLAG_TOP80_ACTIVITY">Титульный!$F$54</definedName>
    <definedName name="TITLE_HEADER_PR_CHANGE">Титульный!$F$23</definedName>
    <definedName name="TITLE_IP_DETAILED_METHOD_LIST">TEHSHEET!$AZ$15:$AZ$17</definedName>
    <definedName name="TITLE_IST_PUB">Титульный!$F$22</definedName>
    <definedName name="TITLE_IST_PUB_CHANGE">Титульный!$F$27</definedName>
    <definedName name="TITLE_NAME_OR_PR">Титульный!$F$21</definedName>
    <definedName name="TITLE_NAME_OR_PR_CHANGE">Титульный!$F$24</definedName>
    <definedName name="TITLE_NUMBER_PR">Титульный!$F$20</definedName>
    <definedName name="TITLE_NUMBER_PR_CHANGE">Титульный!$F$26</definedName>
    <definedName name="TITLE_PERIOD_END">Титульный!$F$10</definedName>
    <definedName name="TITLE_PERIOD_START">Титульный!$F$9</definedName>
    <definedName name="TITLE_TYPE_ORG">Титульный!$F$34</definedName>
    <definedName name="TKO_PT_VED_ID">TEHSHEET!$CC$19:$CC$23</definedName>
    <definedName name="TKO_PT_VED_NAME">TEHSHEET!$CD$19:$CD$23</definedName>
    <definedName name="TKO_PT_VED_NAME_LIST">TEHSHEET!$CC$19:$CD$23</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workbook>
</file>

<file path=xl/calcChain.xml><?xml version="1.0" encoding="utf-8"?>
<calcChain xmlns="http://schemas.openxmlformats.org/spreadsheetml/2006/main">
  <c r="S11" i="66" l="1" a="1"/>
  <c r="S11" i="66" s="1"/>
  <c r="P11" i="66"/>
  <c r="G11" i="66"/>
  <c r="S2" i="66" a="1"/>
  <c r="S2" i="66" s="1"/>
  <c r="P2" i="66"/>
  <c r="G2" i="66"/>
  <c r="R10" i="65"/>
  <c r="P10" i="65" a="1"/>
  <c r="P10" i="65"/>
  <c r="M10" i="65"/>
  <c r="F10" i="65"/>
  <c r="K8" i="65"/>
  <c r="J8" i="65"/>
  <c r="G8" i="65"/>
  <c r="E5" i="65"/>
  <c r="R2" i="65"/>
  <c r="P2" i="65" a="1"/>
  <c r="P2" i="65" s="1"/>
  <c r="M2" i="65"/>
  <c r="F2" i="65"/>
  <c r="P9" i="64"/>
  <c r="N9" i="64" a="1"/>
  <c r="N9" i="64" s="1"/>
  <c r="K9" i="64"/>
  <c r="E5" i="64"/>
  <c r="P2" i="64"/>
  <c r="N2" i="64" a="1"/>
  <c r="N2" i="64" s="1"/>
  <c r="K2" i="64"/>
  <c r="D6" i="63"/>
  <c r="D5" i="63"/>
  <c r="BF63" i="54"/>
  <c r="BF62" i="54"/>
  <c r="BF61" i="54"/>
  <c r="BF60" i="54"/>
  <c r="BF59" i="54"/>
  <c r="BF58" i="54"/>
  <c r="BF57" i="54"/>
  <c r="BF56" i="54"/>
  <c r="BB56" i="54"/>
  <c r="AW56" i="54"/>
  <c r="AU56" i="54"/>
  <c r="Y56" i="54"/>
  <c r="W56" i="54"/>
  <c r="BF52" i="54"/>
  <c r="BF51" i="54"/>
  <c r="J51" i="54"/>
  <c r="BF50" i="54"/>
  <c r="I50" i="54"/>
  <c r="BF49" i="54"/>
  <c r="BF48" i="54"/>
  <c r="BF47" i="54"/>
  <c r="BF46" i="54"/>
  <c r="BC46" i="54"/>
  <c r="BA45" i="54"/>
  <c r="BB45" i="54" s="1"/>
  <c r="BC45" i="54" s="1"/>
  <c r="AY45" i="54"/>
  <c r="AX45" i="54"/>
  <c r="AW45" i="54"/>
  <c r="U45" i="54"/>
  <c r="V45" i="54" s="1"/>
  <c r="W45" i="54" s="1"/>
  <c r="X45" i="54" s="1"/>
  <c r="Y45" i="54" s="1"/>
  <c r="Z45" i="54" s="1"/>
  <c r="AA45" i="54" s="1"/>
  <c r="AC45" i="54" s="1"/>
  <c r="AD45" i="54" s="1"/>
  <c r="AD37" i="54"/>
  <c r="AD36" i="54"/>
  <c r="AD34" i="54"/>
  <c r="AD33" i="54"/>
  <c r="AD32" i="54"/>
  <c r="AD31" i="54"/>
  <c r="S29" i="54"/>
  <c r="S28" i="54"/>
  <c r="BF18" i="54"/>
  <c r="BF17" i="54"/>
  <c r="BF16" i="54"/>
  <c r="BF15" i="54"/>
  <c r="BF14" i="54"/>
  <c r="BF13" i="54"/>
  <c r="BF12" i="54"/>
  <c r="BB12" i="54"/>
  <c r="AW12" i="54"/>
  <c r="AU12" i="54"/>
  <c r="Y12" i="54"/>
  <c r="W12" i="54"/>
  <c r="BF8" i="54"/>
  <c r="BF7" i="54"/>
  <c r="J7" i="54"/>
  <c r="BF6" i="54"/>
  <c r="I6" i="54"/>
  <c r="BF5" i="54"/>
  <c r="BF4" i="54"/>
  <c r="AD4" i="54"/>
  <c r="S4" i="54"/>
  <c r="K8" i="54" s="1"/>
  <c r="S8" i="54" s="1"/>
  <c r="BF3" i="54"/>
  <c r="AD3" i="54"/>
  <c r="S3" i="54"/>
  <c r="BF2" i="54"/>
  <c r="BC2" i="54"/>
  <c r="AD2" i="54"/>
  <c r="S2" i="54"/>
  <c r="AN53" i="53"/>
  <c r="AN52" i="53"/>
  <c r="AN51" i="53"/>
  <c r="AN50" i="53"/>
  <c r="AN49" i="53"/>
  <c r="AN48" i="53"/>
  <c r="AN47" i="53"/>
  <c r="AE47" i="53"/>
  <c r="X47" i="53"/>
  <c r="AN46" i="53"/>
  <c r="AL46" i="53"/>
  <c r="AK46" i="53"/>
  <c r="AN45" i="53"/>
  <c r="AN44" i="53"/>
  <c r="AN43" i="53"/>
  <c r="AN42" i="53"/>
  <c r="AN41" i="53"/>
  <c r="AK41" i="53"/>
  <c r="V40" i="53"/>
  <c r="W40" i="53" s="1"/>
  <c r="X40" i="53" s="1"/>
  <c r="Y40" i="53" s="1"/>
  <c r="Z40" i="53" s="1"/>
  <c r="AB40" i="53" s="1"/>
  <c r="AC40" i="53" s="1"/>
  <c r="AD40" i="53" s="1"/>
  <c r="AE40" i="53" s="1"/>
  <c r="AF40" i="53" s="1"/>
  <c r="AG40" i="53" s="1"/>
  <c r="AI40" i="53" s="1"/>
  <c r="AJ40" i="53" s="1"/>
  <c r="AK40" i="53" s="1"/>
  <c r="U40" i="53"/>
  <c r="AC33" i="53"/>
  <c r="V33" i="53"/>
  <c r="AC32" i="53"/>
  <c r="V32" i="53"/>
  <c r="AC30" i="53"/>
  <c r="V30" i="53"/>
  <c r="AC29" i="53"/>
  <c r="V29" i="53"/>
  <c r="AC28" i="53"/>
  <c r="V28" i="53"/>
  <c r="AC27" i="53"/>
  <c r="V27" i="53"/>
  <c r="S25" i="53"/>
  <c r="S24" i="53"/>
  <c r="AE16" i="53"/>
  <c r="AN13" i="53"/>
  <c r="AN12" i="53"/>
  <c r="AN11" i="53"/>
  <c r="AN10" i="53"/>
  <c r="AN9" i="53"/>
  <c r="AN8" i="53"/>
  <c r="AE8" i="53"/>
  <c r="X8" i="53"/>
  <c r="AN7" i="53"/>
  <c r="AL7" i="53"/>
  <c r="AK7" i="53"/>
  <c r="AN6" i="53"/>
  <c r="AN5" i="53"/>
  <c r="S5" i="53"/>
  <c r="AN4" i="53"/>
  <c r="AC4" i="53"/>
  <c r="S4" i="53"/>
  <c r="I5" i="53" s="1"/>
  <c r="J6" i="53" s="1"/>
  <c r="AN3" i="53"/>
  <c r="AC3" i="53"/>
  <c r="S3" i="53"/>
  <c r="AN2" i="53"/>
  <c r="AK2" i="53"/>
  <c r="AC2" i="53"/>
  <c r="S2" i="53"/>
  <c r="AN53" i="52"/>
  <c r="AN52" i="52"/>
  <c r="AN51" i="52"/>
  <c r="AN50" i="52"/>
  <c r="AN49" i="52"/>
  <c r="AN48" i="52"/>
  <c r="AN47" i="52"/>
  <c r="AE47" i="52"/>
  <c r="X47" i="52"/>
  <c r="AN46" i="52"/>
  <c r="AL46" i="52"/>
  <c r="AK46" i="52"/>
  <c r="AN45" i="52"/>
  <c r="AN44" i="52"/>
  <c r="AN43" i="52"/>
  <c r="AN42" i="52"/>
  <c r="AN41" i="52"/>
  <c r="AK41" i="52"/>
  <c r="U40" i="52"/>
  <c r="V40" i="52" s="1"/>
  <c r="W40" i="52" s="1"/>
  <c r="X40" i="52" s="1"/>
  <c r="Y40" i="52" s="1"/>
  <c r="Z40" i="52" s="1"/>
  <c r="AB40" i="52" s="1"/>
  <c r="AC40" i="52" s="1"/>
  <c r="AD40" i="52" s="1"/>
  <c r="AE40" i="52" s="1"/>
  <c r="AF40" i="52" s="1"/>
  <c r="AG40" i="52" s="1"/>
  <c r="AI40" i="52" s="1"/>
  <c r="AJ40" i="52" s="1"/>
  <c r="AK40" i="52" s="1"/>
  <c r="AC33" i="52"/>
  <c r="V33" i="52"/>
  <c r="AC32" i="52"/>
  <c r="V32" i="52"/>
  <c r="AC30" i="52"/>
  <c r="V30" i="52"/>
  <c r="AC29" i="52"/>
  <c r="V29" i="52"/>
  <c r="AC28" i="52"/>
  <c r="V28" i="52"/>
  <c r="AC27" i="52"/>
  <c r="V27" i="52"/>
  <c r="S25" i="52"/>
  <c r="S24" i="52"/>
  <c r="AE16" i="52"/>
  <c r="AN13" i="52"/>
  <c r="AN12" i="52"/>
  <c r="AN11" i="52"/>
  <c r="AN10" i="52"/>
  <c r="AN9" i="52"/>
  <c r="AN8" i="52"/>
  <c r="AE8" i="52"/>
  <c r="X8" i="52"/>
  <c r="AN7" i="52"/>
  <c r="AL7" i="52"/>
  <c r="AK7" i="52"/>
  <c r="AN6" i="52"/>
  <c r="AN5" i="52"/>
  <c r="AN4" i="52"/>
  <c r="AC4" i="52"/>
  <c r="S4" i="52"/>
  <c r="I5" i="52" s="1"/>
  <c r="AN3" i="52"/>
  <c r="AC3" i="52"/>
  <c r="S3" i="52"/>
  <c r="AN2" i="52"/>
  <c r="AK2" i="52"/>
  <c r="AC2" i="52"/>
  <c r="S2" i="52"/>
  <c r="BF63" i="51"/>
  <c r="BF62" i="51"/>
  <c r="BF61" i="51"/>
  <c r="BF60" i="51"/>
  <c r="BF59" i="51"/>
  <c r="BF58" i="51"/>
  <c r="BF57" i="51"/>
  <c r="BF56" i="51"/>
  <c r="BB56" i="51"/>
  <c r="AW56" i="51"/>
  <c r="AU56" i="51"/>
  <c r="Y56" i="51"/>
  <c r="W56" i="51"/>
  <c r="BF52" i="51"/>
  <c r="BF51" i="51"/>
  <c r="J51" i="51"/>
  <c r="BF50" i="51"/>
  <c r="I50" i="51"/>
  <c r="BF49" i="51"/>
  <c r="BF48" i="51"/>
  <c r="BF47" i="51"/>
  <c r="BF46" i="51"/>
  <c r="BC46" i="51"/>
  <c r="AX45" i="51"/>
  <c r="AY45" i="51" s="1"/>
  <c r="BA45" i="51" s="1"/>
  <c r="BB45" i="51" s="1"/>
  <c r="BC45" i="51" s="1"/>
  <c r="AW45" i="51"/>
  <c r="AA45" i="51"/>
  <c r="AC45" i="51" s="1"/>
  <c r="AD45" i="51" s="1"/>
  <c r="U45" i="51"/>
  <c r="V45" i="51" s="1"/>
  <c r="W45" i="51" s="1"/>
  <c r="X45" i="51" s="1"/>
  <c r="Y45" i="51" s="1"/>
  <c r="Z45" i="51" s="1"/>
  <c r="AD37" i="51"/>
  <c r="AD36" i="51"/>
  <c r="AD34" i="51"/>
  <c r="AD33" i="51"/>
  <c r="AD32" i="51"/>
  <c r="AD31" i="51"/>
  <c r="S29" i="51"/>
  <c r="S28" i="51"/>
  <c r="BF18" i="51"/>
  <c r="BF17" i="51"/>
  <c r="BF16" i="51"/>
  <c r="BF15" i="51"/>
  <c r="BF14" i="51"/>
  <c r="BF13" i="51"/>
  <c r="BF12" i="51"/>
  <c r="BB12" i="51"/>
  <c r="AW12" i="51"/>
  <c r="AU12" i="51"/>
  <c r="Y12" i="51"/>
  <c r="W12" i="51"/>
  <c r="BF8" i="51"/>
  <c r="BF7" i="51"/>
  <c r="J7" i="51"/>
  <c r="BF6" i="51"/>
  <c r="I6" i="51"/>
  <c r="BF5" i="51"/>
  <c r="BF4" i="51"/>
  <c r="AD4" i="51"/>
  <c r="S4" i="51"/>
  <c r="K8" i="51" s="1"/>
  <c r="S8" i="51" s="1"/>
  <c r="BF3" i="51"/>
  <c r="AD3" i="51"/>
  <c r="S3" i="51"/>
  <c r="BF2" i="51"/>
  <c r="BC2" i="51"/>
  <c r="AD2" i="51"/>
  <c r="S2" i="51"/>
  <c r="AN53" i="50"/>
  <c r="AN52" i="50"/>
  <c r="AN51" i="50"/>
  <c r="AN50" i="50"/>
  <c r="AN49" i="50"/>
  <c r="AN48" i="50"/>
  <c r="AN47" i="50"/>
  <c r="AE47" i="50"/>
  <c r="X47" i="50"/>
  <c r="AN46" i="50"/>
  <c r="AL46" i="50"/>
  <c r="AK46" i="50"/>
  <c r="AN45" i="50"/>
  <c r="AN44" i="50"/>
  <c r="AN43" i="50"/>
  <c r="AN42" i="50"/>
  <c r="AN41" i="50"/>
  <c r="AK41" i="50"/>
  <c r="V40" i="50"/>
  <c r="W40" i="50" s="1"/>
  <c r="X40" i="50" s="1"/>
  <c r="Y40" i="50" s="1"/>
  <c r="Z40" i="50" s="1"/>
  <c r="AB40" i="50" s="1"/>
  <c r="AC40" i="50" s="1"/>
  <c r="AD40" i="50" s="1"/>
  <c r="AE40" i="50" s="1"/>
  <c r="AF40" i="50" s="1"/>
  <c r="AG40" i="50" s="1"/>
  <c r="AI40" i="50" s="1"/>
  <c r="AJ40" i="50" s="1"/>
  <c r="AK40" i="50" s="1"/>
  <c r="U40" i="50"/>
  <c r="AC33" i="50"/>
  <c r="V33" i="50"/>
  <c r="AC32" i="50"/>
  <c r="V32" i="50"/>
  <c r="AC30" i="50"/>
  <c r="V30" i="50"/>
  <c r="AC29" i="50"/>
  <c r="V29" i="50"/>
  <c r="AC28" i="50"/>
  <c r="V28" i="50"/>
  <c r="AC27" i="50"/>
  <c r="V27" i="50"/>
  <c r="S25" i="50"/>
  <c r="S24" i="50"/>
  <c r="AE16" i="50"/>
  <c r="AN13" i="50"/>
  <c r="AN12" i="50"/>
  <c r="AN11" i="50"/>
  <c r="AN10" i="50"/>
  <c r="AN9" i="50"/>
  <c r="AN8" i="50"/>
  <c r="AE8" i="50"/>
  <c r="X8" i="50"/>
  <c r="AN7" i="50"/>
  <c r="AL7" i="50"/>
  <c r="AK7" i="50"/>
  <c r="AN6" i="50"/>
  <c r="AN5" i="50"/>
  <c r="AN4" i="50"/>
  <c r="AC4" i="50"/>
  <c r="S4" i="50"/>
  <c r="I5" i="50" s="1"/>
  <c r="S5" i="50" s="1"/>
  <c r="AN3" i="50"/>
  <c r="AC3" i="50"/>
  <c r="S3" i="50"/>
  <c r="AN2" i="50"/>
  <c r="AK2" i="50"/>
  <c r="AC2" i="50"/>
  <c r="S2" i="50"/>
  <c r="AN53" i="49"/>
  <c r="AN52" i="49"/>
  <c r="AN51" i="49"/>
  <c r="AN50" i="49"/>
  <c r="AN49" i="49"/>
  <c r="AN48" i="49"/>
  <c r="AN47" i="49"/>
  <c r="AE47" i="49"/>
  <c r="X47" i="49"/>
  <c r="AN46" i="49"/>
  <c r="AL46" i="49"/>
  <c r="AK46" i="49"/>
  <c r="AN45" i="49"/>
  <c r="AN44" i="49"/>
  <c r="AN43" i="49"/>
  <c r="AN42" i="49"/>
  <c r="AN41" i="49"/>
  <c r="AK41" i="49"/>
  <c r="W40" i="49"/>
  <c r="X40" i="49" s="1"/>
  <c r="Y40" i="49" s="1"/>
  <c r="Z40" i="49" s="1"/>
  <c r="AB40" i="49" s="1"/>
  <c r="AC40" i="49" s="1"/>
  <c r="AD40" i="49" s="1"/>
  <c r="AE40" i="49" s="1"/>
  <c r="AF40" i="49" s="1"/>
  <c r="AG40" i="49" s="1"/>
  <c r="AI40" i="49" s="1"/>
  <c r="AJ40" i="49" s="1"/>
  <c r="AK40" i="49" s="1"/>
  <c r="U40" i="49"/>
  <c r="V40" i="49" s="1"/>
  <c r="AC33" i="49"/>
  <c r="V33" i="49"/>
  <c r="AC32" i="49"/>
  <c r="V32" i="49"/>
  <c r="AC30" i="49"/>
  <c r="V30" i="49"/>
  <c r="AC29" i="49"/>
  <c r="V29" i="49"/>
  <c r="AC28" i="49"/>
  <c r="V28" i="49"/>
  <c r="AC27" i="49"/>
  <c r="V27" i="49"/>
  <c r="S25" i="49"/>
  <c r="S24" i="49"/>
  <c r="AE16" i="49"/>
  <c r="AN13" i="49"/>
  <c r="AN12" i="49"/>
  <c r="AN11" i="49"/>
  <c r="AN10" i="49"/>
  <c r="AN9" i="49"/>
  <c r="AN8" i="49"/>
  <c r="AE8" i="49"/>
  <c r="X8" i="49"/>
  <c r="AN7" i="49"/>
  <c r="AL7" i="49"/>
  <c r="AK7" i="49"/>
  <c r="AN6" i="49"/>
  <c r="AN5" i="49"/>
  <c r="I5" i="49"/>
  <c r="AN4" i="49"/>
  <c r="AC4" i="49"/>
  <c r="S4" i="49"/>
  <c r="AN3" i="49"/>
  <c r="AC3" i="49"/>
  <c r="S3" i="49"/>
  <c r="AN2" i="49"/>
  <c r="AK2" i="49"/>
  <c r="AC2" i="49"/>
  <c r="S2" i="49"/>
  <c r="F6" i="48"/>
  <c r="H57" i="47"/>
  <c r="H56" i="47"/>
  <c r="H55" i="47"/>
  <c r="I54" i="47"/>
  <c r="H54" i="47" s="1"/>
  <c r="H53" i="47"/>
  <c r="H52" i="47"/>
  <c r="H51" i="47"/>
  <c r="H50" i="47"/>
  <c r="I49" i="47"/>
  <c r="H47" i="47"/>
  <c r="H46" i="47"/>
  <c r="H45" i="47"/>
  <c r="I44" i="47"/>
  <c r="H44" i="47"/>
  <c r="H43" i="47"/>
  <c r="H42" i="47"/>
  <c r="H41" i="47"/>
  <c r="H40" i="47"/>
  <c r="I39" i="47"/>
  <c r="H39" i="47"/>
  <c r="I38" i="47"/>
  <c r="H38" i="47"/>
  <c r="H35" i="47"/>
  <c r="H34" i="47"/>
  <c r="H33" i="47"/>
  <c r="I32" i="47"/>
  <c r="H32" i="47" s="1"/>
  <c r="H31" i="47"/>
  <c r="H30" i="47"/>
  <c r="H29" i="47"/>
  <c r="I28" i="47"/>
  <c r="H28" i="47"/>
  <c r="H27" i="47"/>
  <c r="H26" i="47"/>
  <c r="H25" i="47"/>
  <c r="H24" i="47"/>
  <c r="H23" i="47"/>
  <c r="H22" i="47"/>
  <c r="H21" i="47"/>
  <c r="H20" i="47"/>
  <c r="H19" i="47"/>
  <c r="H18" i="47"/>
  <c r="H17" i="47"/>
  <c r="H16" i="47"/>
  <c r="I15" i="47"/>
  <c r="I36" i="47" s="1"/>
  <c r="H36" i="47" s="1"/>
  <c r="H15" i="47"/>
  <c r="H11" i="47"/>
  <c r="F6" i="47"/>
  <c r="F6" i="46"/>
  <c r="H15" i="45"/>
  <c r="F6" i="45"/>
  <c r="J12" i="44"/>
  <c r="I12" i="44"/>
  <c r="H12" i="44"/>
  <c r="G12" i="44"/>
  <c r="G9" i="44"/>
  <c r="G8" i="44"/>
  <c r="G7" i="44"/>
  <c r="D4" i="44"/>
  <c r="E28" i="43"/>
  <c r="I27" i="43"/>
  <c r="H27" i="43"/>
  <c r="I16" i="43"/>
  <c r="H16" i="43"/>
  <c r="H12" i="43"/>
  <c r="H11" i="43"/>
  <c r="H10" i="43"/>
  <c r="E7" i="43"/>
  <c r="E33" i="42"/>
  <c r="I32" i="42"/>
  <c r="H32" i="42"/>
  <c r="I16" i="42"/>
  <c r="H16" i="42"/>
  <c r="H12" i="42"/>
  <c r="H11" i="42"/>
  <c r="H10" i="42"/>
  <c r="E7" i="42"/>
  <c r="V20" i="41"/>
  <c r="Q20" i="41"/>
  <c r="V17" i="41"/>
  <c r="Q17" i="41"/>
  <c r="E6" i="41"/>
  <c r="I87" i="40"/>
  <c r="H87" i="40"/>
  <c r="I69" i="40"/>
  <c r="H69" i="40"/>
  <c r="K40" i="40"/>
  <c r="K39" i="40"/>
  <c r="K38" i="40"/>
  <c r="K37" i="40"/>
  <c r="K36" i="40"/>
  <c r="K35" i="40"/>
  <c r="K34" i="40"/>
  <c r="I33" i="40"/>
  <c r="H33" i="40"/>
  <c r="H27" i="40"/>
  <c r="H26" i="40"/>
  <c r="H25" i="40"/>
  <c r="E22" i="40"/>
  <c r="E7" i="40"/>
  <c r="E6" i="40"/>
  <c r="E5" i="40"/>
  <c r="E4" i="40"/>
  <c r="I3" i="40"/>
  <c r="H3" i="40"/>
  <c r="E2" i="40"/>
  <c r="BF63" i="39"/>
  <c r="BF62" i="39"/>
  <c r="BF61" i="39"/>
  <c r="BF60" i="39"/>
  <c r="BF59" i="39"/>
  <c r="BF58" i="39"/>
  <c r="BF57" i="39"/>
  <c r="BF56" i="39"/>
  <c r="BB56" i="39"/>
  <c r="AW56" i="39"/>
  <c r="AU56" i="39"/>
  <c r="Y56" i="39"/>
  <c r="W56" i="39"/>
  <c r="BF52" i="39"/>
  <c r="BF51" i="39"/>
  <c r="J51" i="39"/>
  <c r="BF50" i="39"/>
  <c r="I50" i="39"/>
  <c r="BF49" i="39"/>
  <c r="BF48" i="39"/>
  <c r="BF47" i="39"/>
  <c r="BF46" i="39"/>
  <c r="BC46" i="39"/>
  <c r="AX45" i="39"/>
  <c r="AY45" i="39" s="1"/>
  <c r="BA45" i="39" s="1"/>
  <c r="BB45" i="39" s="1"/>
  <c r="BC45" i="39" s="1"/>
  <c r="AW45" i="39"/>
  <c r="AA45" i="39"/>
  <c r="AC45" i="39" s="1"/>
  <c r="AD45" i="39" s="1"/>
  <c r="U45" i="39"/>
  <c r="V45" i="39" s="1"/>
  <c r="W45" i="39" s="1"/>
  <c r="X45" i="39" s="1"/>
  <c r="Y45" i="39" s="1"/>
  <c r="Z45" i="39" s="1"/>
  <c r="AD37" i="39"/>
  <c r="AD36" i="39"/>
  <c r="AD34" i="39"/>
  <c r="AD33" i="39"/>
  <c r="AD32" i="39"/>
  <c r="AD31" i="39"/>
  <c r="S29" i="39"/>
  <c r="S28" i="39"/>
  <c r="BF18" i="39"/>
  <c r="BF17" i="39"/>
  <c r="BF16" i="39"/>
  <c r="BF15" i="39"/>
  <c r="BF14" i="39"/>
  <c r="BF13" i="39"/>
  <c r="BF12" i="39"/>
  <c r="BB12" i="39"/>
  <c r="AW12" i="39"/>
  <c r="AU12" i="39"/>
  <c r="Y12" i="39"/>
  <c r="W12" i="39"/>
  <c r="BF8" i="39"/>
  <c r="BF7" i="39"/>
  <c r="J7" i="39"/>
  <c r="BF6" i="39"/>
  <c r="I6" i="39"/>
  <c r="BF5" i="39"/>
  <c r="BF4" i="39"/>
  <c r="AD4" i="39"/>
  <c r="S4" i="39"/>
  <c r="K8" i="39" s="1"/>
  <c r="S8" i="39" s="1"/>
  <c r="BF3" i="39"/>
  <c r="AD3" i="39"/>
  <c r="S3" i="39"/>
  <c r="BF2" i="39"/>
  <c r="BC2" i="39"/>
  <c r="AD2" i="39"/>
  <c r="S2" i="39"/>
  <c r="AN53" i="38"/>
  <c r="AN52" i="38"/>
  <c r="AN51" i="38"/>
  <c r="AN50" i="38"/>
  <c r="AN49" i="38"/>
  <c r="AN48" i="38"/>
  <c r="AN47" i="38"/>
  <c r="AE47" i="38"/>
  <c r="X47" i="38"/>
  <c r="AN46" i="38"/>
  <c r="AL46" i="38"/>
  <c r="AK46" i="38"/>
  <c r="AN45" i="38"/>
  <c r="AN44" i="38"/>
  <c r="AN43" i="38"/>
  <c r="AN42" i="38"/>
  <c r="AN41" i="38"/>
  <c r="AK41" i="38"/>
  <c r="V40" i="38"/>
  <c r="W40" i="38" s="1"/>
  <c r="X40" i="38" s="1"/>
  <c r="Y40" i="38" s="1"/>
  <c r="Z40" i="38" s="1"/>
  <c r="AB40" i="38" s="1"/>
  <c r="AC40" i="38" s="1"/>
  <c r="AD40" i="38" s="1"/>
  <c r="AE40" i="38" s="1"/>
  <c r="AF40" i="38" s="1"/>
  <c r="AG40" i="38" s="1"/>
  <c r="AI40" i="38" s="1"/>
  <c r="AJ40" i="38" s="1"/>
  <c r="AK40" i="38" s="1"/>
  <c r="U40" i="38"/>
  <c r="AC33" i="38"/>
  <c r="V33" i="38"/>
  <c r="AC32" i="38"/>
  <c r="V32" i="38"/>
  <c r="AC30" i="38"/>
  <c r="V30" i="38"/>
  <c r="AC29" i="38"/>
  <c r="V29" i="38"/>
  <c r="AC28" i="38"/>
  <c r="V28" i="38"/>
  <c r="AC27" i="38"/>
  <c r="V27" i="38"/>
  <c r="S25" i="38"/>
  <c r="S24" i="38"/>
  <c r="AE16" i="38"/>
  <c r="AN13" i="38"/>
  <c r="AN12" i="38"/>
  <c r="AN11" i="38"/>
  <c r="AN10" i="38"/>
  <c r="AN9" i="38"/>
  <c r="AN8" i="38"/>
  <c r="AE8" i="38"/>
  <c r="X8" i="38"/>
  <c r="AN7" i="38"/>
  <c r="AL7" i="38"/>
  <c r="AK7" i="38"/>
  <c r="AN6" i="38"/>
  <c r="J6" i="38"/>
  <c r="AN5" i="38"/>
  <c r="I5" i="38"/>
  <c r="S5" i="38" s="1"/>
  <c r="AN4" i="38"/>
  <c r="AC4" i="38"/>
  <c r="S4" i="38"/>
  <c r="AN3" i="38"/>
  <c r="AC3" i="38"/>
  <c r="S3" i="38"/>
  <c r="AN2" i="38"/>
  <c r="AK2" i="38"/>
  <c r="AC2" i="38"/>
  <c r="S2" i="38"/>
  <c r="AN53" i="37"/>
  <c r="AN52" i="37"/>
  <c r="AN51" i="37"/>
  <c r="AN50" i="37"/>
  <c r="AN49" i="37"/>
  <c r="AN48" i="37"/>
  <c r="AN47" i="37"/>
  <c r="AE47" i="37"/>
  <c r="X47" i="37"/>
  <c r="AN46" i="37"/>
  <c r="AL46" i="37"/>
  <c r="AK46" i="37"/>
  <c r="AN45" i="37"/>
  <c r="AN44" i="37"/>
  <c r="S44" i="37"/>
  <c r="AN43" i="37"/>
  <c r="AN42" i="37"/>
  <c r="AN41" i="37"/>
  <c r="AK41" i="37"/>
  <c r="X40" i="37"/>
  <c r="Y40" i="37" s="1"/>
  <c r="Z40" i="37" s="1"/>
  <c r="AB40" i="37" s="1"/>
  <c r="AC40" i="37" s="1"/>
  <c r="AD40" i="37" s="1"/>
  <c r="AE40" i="37" s="1"/>
  <c r="AF40" i="37" s="1"/>
  <c r="AG40" i="37" s="1"/>
  <c r="AI40" i="37" s="1"/>
  <c r="AJ40" i="37" s="1"/>
  <c r="AK40" i="37" s="1"/>
  <c r="U40" i="37"/>
  <c r="V40" i="37" s="1"/>
  <c r="W40" i="37" s="1"/>
  <c r="AC33" i="37"/>
  <c r="V33" i="37"/>
  <c r="AC32" i="37"/>
  <c r="V32" i="37"/>
  <c r="AC30" i="37"/>
  <c r="V30" i="37"/>
  <c r="AC29" i="37"/>
  <c r="V29" i="37"/>
  <c r="AC28" i="37"/>
  <c r="V28" i="37"/>
  <c r="AC27" i="37"/>
  <c r="V27" i="37"/>
  <c r="S25" i="37"/>
  <c r="S24" i="37"/>
  <c r="AE16" i="37"/>
  <c r="AN13" i="37"/>
  <c r="AN12" i="37"/>
  <c r="AN11" i="37"/>
  <c r="AN10" i="37"/>
  <c r="AN9" i="37"/>
  <c r="AN8" i="37"/>
  <c r="AE8" i="37"/>
  <c r="X8" i="37"/>
  <c r="AN7" i="37"/>
  <c r="AL7" i="37"/>
  <c r="AK7" i="37"/>
  <c r="AN6" i="37"/>
  <c r="AN5" i="37"/>
  <c r="S5" i="37"/>
  <c r="AN4" i="37"/>
  <c r="AC4" i="37"/>
  <c r="S4" i="37"/>
  <c r="I5" i="37" s="1"/>
  <c r="J6" i="37" s="1"/>
  <c r="AN3" i="37"/>
  <c r="AC3" i="37"/>
  <c r="S3" i="37"/>
  <c r="AN2" i="37"/>
  <c r="AK2" i="37"/>
  <c r="AC2" i="37"/>
  <c r="S2" i="37"/>
  <c r="AN53" i="36"/>
  <c r="AN52" i="36"/>
  <c r="AN51" i="36"/>
  <c r="AN50" i="36"/>
  <c r="AN49" i="36"/>
  <c r="AN48" i="36"/>
  <c r="AN47" i="36"/>
  <c r="AE47" i="36"/>
  <c r="X47" i="36"/>
  <c r="AN46" i="36"/>
  <c r="AL46" i="36"/>
  <c r="AK46" i="36"/>
  <c r="AN45" i="36"/>
  <c r="AN44" i="36"/>
  <c r="AN43" i="36"/>
  <c r="AN42" i="36"/>
  <c r="AN41" i="36"/>
  <c r="AK41" i="36"/>
  <c r="V40" i="36"/>
  <c r="W40" i="36" s="1"/>
  <c r="X40" i="36" s="1"/>
  <c r="Y40" i="36" s="1"/>
  <c r="Z40" i="36" s="1"/>
  <c r="AB40" i="36" s="1"/>
  <c r="AC40" i="36" s="1"/>
  <c r="AD40" i="36" s="1"/>
  <c r="AE40" i="36" s="1"/>
  <c r="AF40" i="36" s="1"/>
  <c r="AG40" i="36" s="1"/>
  <c r="AI40" i="36" s="1"/>
  <c r="AJ40" i="36" s="1"/>
  <c r="AK40" i="36" s="1"/>
  <c r="U40" i="36"/>
  <c r="AC33" i="36"/>
  <c r="V33" i="36"/>
  <c r="AC32" i="36"/>
  <c r="V32" i="36"/>
  <c r="AC30" i="36"/>
  <c r="V30" i="36"/>
  <c r="AC29" i="36"/>
  <c r="V29" i="36"/>
  <c r="AC28" i="36"/>
  <c r="V28" i="36"/>
  <c r="AC27" i="36"/>
  <c r="V27" i="36"/>
  <c r="S25" i="36"/>
  <c r="S24" i="36"/>
  <c r="AE16" i="36"/>
  <c r="AN13" i="36"/>
  <c r="AN12" i="36"/>
  <c r="AN11" i="36"/>
  <c r="AN10" i="36"/>
  <c r="AN9" i="36"/>
  <c r="AN8" i="36"/>
  <c r="AE8" i="36"/>
  <c r="X8" i="36"/>
  <c r="AN7" i="36"/>
  <c r="AL7" i="36"/>
  <c r="AK7" i="36"/>
  <c r="AN6" i="36"/>
  <c r="J6" i="36"/>
  <c r="AN5" i="36"/>
  <c r="I5" i="36"/>
  <c r="S5" i="36" s="1"/>
  <c r="AN4" i="36"/>
  <c r="AC4" i="36"/>
  <c r="S4" i="36"/>
  <c r="AN3" i="36"/>
  <c r="AC3" i="36"/>
  <c r="S3" i="36"/>
  <c r="AN2" i="36"/>
  <c r="AK2" i="36"/>
  <c r="AC2" i="36"/>
  <c r="S2" i="36"/>
  <c r="AN53" i="35"/>
  <c r="AN52" i="35"/>
  <c r="AN51" i="35"/>
  <c r="AN50" i="35"/>
  <c r="AN49" i="35"/>
  <c r="AN48" i="35"/>
  <c r="AN47" i="35"/>
  <c r="AE47" i="35"/>
  <c r="X47" i="35"/>
  <c r="AN46" i="35"/>
  <c r="AL46" i="35"/>
  <c r="AK46" i="35"/>
  <c r="AN45" i="35"/>
  <c r="AN44" i="35"/>
  <c r="AN43" i="35"/>
  <c r="AN42" i="35"/>
  <c r="AN41" i="35"/>
  <c r="AK41" i="35"/>
  <c r="U40" i="35"/>
  <c r="V40" i="35" s="1"/>
  <c r="W40" i="35" s="1"/>
  <c r="X40" i="35" s="1"/>
  <c r="Y40" i="35" s="1"/>
  <c r="Z40" i="35" s="1"/>
  <c r="AB40" i="35" s="1"/>
  <c r="AC40" i="35" s="1"/>
  <c r="AD40" i="35" s="1"/>
  <c r="AE40" i="35" s="1"/>
  <c r="AF40" i="35" s="1"/>
  <c r="AG40" i="35" s="1"/>
  <c r="AI40" i="35" s="1"/>
  <c r="AJ40" i="35" s="1"/>
  <c r="AK40" i="35" s="1"/>
  <c r="AC33" i="35"/>
  <c r="V33" i="35"/>
  <c r="AC32" i="35"/>
  <c r="V32" i="35"/>
  <c r="AC30" i="35"/>
  <c r="V30" i="35"/>
  <c r="AC29" i="35"/>
  <c r="V29" i="35"/>
  <c r="AC28" i="35"/>
  <c r="V28" i="35"/>
  <c r="AC27" i="35"/>
  <c r="V27" i="35"/>
  <c r="S25" i="35"/>
  <c r="S24" i="35"/>
  <c r="AE16" i="35"/>
  <c r="AN13" i="35"/>
  <c r="AN12" i="35"/>
  <c r="AN11" i="35"/>
  <c r="AN10" i="35"/>
  <c r="AN9" i="35"/>
  <c r="AN8" i="35"/>
  <c r="AE8" i="35"/>
  <c r="X8" i="35"/>
  <c r="AN7" i="35"/>
  <c r="AL7" i="35"/>
  <c r="AK7" i="35"/>
  <c r="AN6" i="35"/>
  <c r="AN5" i="35"/>
  <c r="I5" i="35"/>
  <c r="AN4" i="35"/>
  <c r="AC4" i="35"/>
  <c r="S4" i="35"/>
  <c r="AN3" i="35"/>
  <c r="AC3" i="35"/>
  <c r="S3" i="35"/>
  <c r="AN2" i="35"/>
  <c r="AK2" i="35"/>
  <c r="AC2" i="35"/>
  <c r="S2" i="35"/>
  <c r="F8" i="34"/>
  <c r="E8" i="34"/>
  <c r="F7" i="34"/>
  <c r="E7" i="34"/>
  <c r="D40" i="33"/>
  <c r="D39" i="33"/>
  <c r="G28" i="33"/>
  <c r="G27" i="33"/>
  <c r="G26" i="33"/>
  <c r="D23" i="33"/>
  <c r="D14" i="33"/>
  <c r="D13" i="33"/>
  <c r="D11" i="33"/>
  <c r="D10" i="33"/>
  <c r="D9" i="33"/>
  <c r="D7" i="33"/>
  <c r="D6" i="33"/>
  <c r="D4" i="33"/>
  <c r="D3" i="33"/>
  <c r="F21" i="32"/>
  <c r="H19" i="32"/>
  <c r="G19" i="32"/>
  <c r="F19" i="32"/>
  <c r="I16" i="32"/>
  <c r="H14" i="32"/>
  <c r="G14" i="32"/>
  <c r="G11" i="32"/>
  <c r="G10" i="32"/>
  <c r="G9" i="32"/>
  <c r="D6" i="32"/>
  <c r="F2" i="32"/>
  <c r="I14" i="31"/>
  <c r="G14" i="31"/>
  <c r="G11" i="31"/>
  <c r="G10" i="31"/>
  <c r="G9" i="31"/>
  <c r="D6" i="31"/>
  <c r="E13" i="29"/>
  <c r="H12" i="29"/>
  <c r="E12" i="29"/>
  <c r="E11" i="29"/>
  <c r="E10" i="29"/>
  <c r="D6" i="29"/>
  <c r="D15" i="28"/>
  <c r="D14" i="28"/>
  <c r="R24" i="27"/>
  <c r="Y23" i="27"/>
  <c r="L23" i="27"/>
  <c r="L22" i="27"/>
  <c r="L21" i="27"/>
  <c r="L20" i="27"/>
  <c r="L19" i="27"/>
  <c r="X18" i="27"/>
  <c r="R18" i="27"/>
  <c r="S18" i="27" s="1"/>
  <c r="T18" i="27" s="1"/>
  <c r="V18" i="27" s="1"/>
  <c r="O18" i="27"/>
  <c r="P18" i="27" s="1"/>
  <c r="Q18" i="27" s="1"/>
  <c r="O10" i="27"/>
  <c r="O9" i="27"/>
  <c r="O8" i="27"/>
  <c r="O7" i="27"/>
  <c r="AA32" i="26"/>
  <c r="AA31" i="26"/>
  <c r="AA30" i="26"/>
  <c r="AA29" i="26"/>
  <c r="AA28" i="26"/>
  <c r="AA27" i="26"/>
  <c r="AA26" i="26"/>
  <c r="R26" i="26"/>
  <c r="AA25" i="26"/>
  <c r="Y25" i="26"/>
  <c r="AA24" i="26"/>
  <c r="AA23" i="26"/>
  <c r="L23" i="26"/>
  <c r="AA22" i="26"/>
  <c r="O22" i="26"/>
  <c r="L22" i="26"/>
  <c r="F23" i="26" s="1"/>
  <c r="G24" i="26" s="1"/>
  <c r="AA21" i="26"/>
  <c r="O21" i="26"/>
  <c r="L21" i="26"/>
  <c r="AA20" i="26"/>
  <c r="O20" i="26"/>
  <c r="L20" i="26"/>
  <c r="AA19" i="26"/>
  <c r="O19" i="26"/>
  <c r="L19" i="26"/>
  <c r="V18" i="26"/>
  <c r="W18" i="26" s="1"/>
  <c r="X18" i="26" s="1"/>
  <c r="Q18" i="26"/>
  <c r="R18" i="26" s="1"/>
  <c r="S18" i="26" s="1"/>
  <c r="T18" i="26" s="1"/>
  <c r="N18" i="26"/>
  <c r="O18" i="26" s="1"/>
  <c r="O11" i="26"/>
  <c r="O10" i="26"/>
  <c r="O9" i="26"/>
  <c r="O8" i="26"/>
  <c r="L6" i="26"/>
  <c r="AA32" i="25"/>
  <c r="AA31" i="25"/>
  <c r="AA30" i="25"/>
  <c r="AA29" i="25"/>
  <c r="AA28" i="25"/>
  <c r="AA27" i="25"/>
  <c r="AA26" i="25"/>
  <c r="R26" i="25"/>
  <c r="AA25" i="25"/>
  <c r="Y25" i="25"/>
  <c r="AA24" i="25"/>
  <c r="AA23" i="25"/>
  <c r="L23" i="25"/>
  <c r="AA22" i="25"/>
  <c r="O22" i="25"/>
  <c r="L22" i="25"/>
  <c r="F23" i="25" s="1"/>
  <c r="G24" i="25" s="1"/>
  <c r="AA21" i="25"/>
  <c r="O21" i="25"/>
  <c r="L21" i="25"/>
  <c r="AA20" i="25"/>
  <c r="O20" i="25"/>
  <c r="L20" i="25"/>
  <c r="AA19" i="25"/>
  <c r="O19" i="25"/>
  <c r="L19" i="25"/>
  <c r="V18" i="25"/>
  <c r="W18" i="25" s="1"/>
  <c r="X18" i="25" s="1"/>
  <c r="Q18" i="25"/>
  <c r="R18" i="25" s="1"/>
  <c r="S18" i="25" s="1"/>
  <c r="T18" i="25" s="1"/>
  <c r="N18" i="25"/>
  <c r="O18" i="25" s="1"/>
  <c r="O11" i="25"/>
  <c r="O10" i="25"/>
  <c r="O9" i="25"/>
  <c r="O8" i="25"/>
  <c r="L6" i="25"/>
  <c r="AA32" i="24"/>
  <c r="AA31" i="24"/>
  <c r="AA30" i="24"/>
  <c r="AA29" i="24"/>
  <c r="AA28" i="24"/>
  <c r="AA27" i="24"/>
  <c r="AA26" i="24"/>
  <c r="R26" i="24"/>
  <c r="AA25" i="24"/>
  <c r="Y25" i="24"/>
  <c r="AA24" i="24"/>
  <c r="AA23" i="24"/>
  <c r="AA22" i="24"/>
  <c r="AA21" i="24"/>
  <c r="AA20" i="24"/>
  <c r="AA19" i="24"/>
  <c r="V18" i="24"/>
  <c r="W18" i="24" s="1"/>
  <c r="X18" i="24" s="1"/>
  <c r="Q18" i="24"/>
  <c r="R18" i="24" s="1"/>
  <c r="S18" i="24" s="1"/>
  <c r="T18" i="24" s="1"/>
  <c r="N18" i="24"/>
  <c r="O18" i="24" s="1"/>
  <c r="O11" i="24"/>
  <c r="O10" i="24"/>
  <c r="O9" i="24"/>
  <c r="O8" i="24"/>
  <c r="L6" i="24"/>
  <c r="AX62" i="23"/>
  <c r="AX61" i="23"/>
  <c r="AX60" i="23"/>
  <c r="AX59" i="23"/>
  <c r="AX58" i="23"/>
  <c r="AX57" i="23"/>
  <c r="AX56" i="23"/>
  <c r="AX55" i="23"/>
  <c r="AX54" i="23"/>
  <c r="AO54" i="23"/>
  <c r="W54" i="23"/>
  <c r="AX51" i="23"/>
  <c r="AV51" i="23"/>
  <c r="AX50" i="23"/>
  <c r="AX49" i="23"/>
  <c r="AX48" i="23"/>
  <c r="AX47" i="23"/>
  <c r="AX46" i="23"/>
  <c r="AX45" i="23"/>
  <c r="AO44" i="23"/>
  <c r="AP44" i="23" s="1"/>
  <c r="AQ44" i="23" s="1"/>
  <c r="AS44" i="23" s="1"/>
  <c r="AT44" i="23" s="1"/>
  <c r="AU44" i="23" s="1"/>
  <c r="AN44" i="23"/>
  <c r="Y44" i="23"/>
  <c r="AA44" i="23" s="1"/>
  <c r="AB44" i="23" s="1"/>
  <c r="U44" i="23"/>
  <c r="V44" i="23" s="1"/>
  <c r="W44" i="23" s="1"/>
  <c r="X44" i="23" s="1"/>
  <c r="AB36" i="23"/>
  <c r="AB35" i="23"/>
  <c r="AB33" i="23"/>
  <c r="AB32" i="23"/>
  <c r="AB31" i="23"/>
  <c r="AB30" i="23"/>
  <c r="S28" i="23"/>
  <c r="S27" i="23"/>
  <c r="AX17" i="23"/>
  <c r="AX16" i="23"/>
  <c r="AX15" i="23"/>
  <c r="AX14" i="23"/>
  <c r="AX13" i="23"/>
  <c r="AX12" i="23"/>
  <c r="AX11" i="23"/>
  <c r="AO11" i="23"/>
  <c r="W11" i="23"/>
  <c r="AX8" i="23"/>
  <c r="AV8" i="23"/>
  <c r="AX7" i="23"/>
  <c r="AX6" i="23"/>
  <c r="AX5" i="23"/>
  <c r="AB5" i="23"/>
  <c r="S5" i="23"/>
  <c r="AX4" i="23"/>
  <c r="AB4" i="23"/>
  <c r="S4" i="23"/>
  <c r="AX3" i="23"/>
  <c r="AB3" i="23"/>
  <c r="S3" i="23"/>
  <c r="AX2" i="23"/>
  <c r="AB2" i="23"/>
  <c r="S2" i="23"/>
  <c r="AT65" i="22"/>
  <c r="AT64" i="22"/>
  <c r="AT63" i="22"/>
  <c r="AT62" i="22"/>
  <c r="AT61" i="22"/>
  <c r="AT60" i="22"/>
  <c r="AT59" i="22"/>
  <c r="AT58" i="22"/>
  <c r="AT57" i="22"/>
  <c r="AK57" i="22"/>
  <c r="AB57" i="22"/>
  <c r="AT56" i="22"/>
  <c r="AR56" i="22"/>
  <c r="AT55" i="22"/>
  <c r="AR55" i="22"/>
  <c r="AT54" i="22"/>
  <c r="AT53" i="22"/>
  <c r="AT52" i="22"/>
  <c r="AT51" i="22"/>
  <c r="AT50" i="22"/>
  <c r="AT49" i="22"/>
  <c r="AQ49" i="22"/>
  <c r="AK48" i="22"/>
  <c r="AL48" i="22" s="1"/>
  <c r="AM48" i="22" s="1"/>
  <c r="AO48" i="22" s="1"/>
  <c r="AP48" i="22" s="1"/>
  <c r="AQ48" i="22" s="1"/>
  <c r="AJ48" i="22"/>
  <c r="AD48" i="22"/>
  <c r="AF48" i="22" s="1"/>
  <c r="AG48" i="22" s="1"/>
  <c r="AA48" i="22"/>
  <c r="AB48" i="22" s="1"/>
  <c r="AC48" i="22" s="1"/>
  <c r="X48" i="22"/>
  <c r="W48" i="22"/>
  <c r="AG39" i="22"/>
  <c r="X39" i="22"/>
  <c r="AG38" i="22"/>
  <c r="X38" i="22"/>
  <c r="AG36" i="22"/>
  <c r="X36" i="22"/>
  <c r="AG35" i="22"/>
  <c r="X35" i="22"/>
  <c r="AG34" i="22"/>
  <c r="X34" i="22"/>
  <c r="AG33" i="22"/>
  <c r="X33" i="22"/>
  <c r="U31" i="22"/>
  <c r="U30" i="22"/>
  <c r="AK22" i="22"/>
  <c r="AT17" i="22"/>
  <c r="AT16" i="22"/>
  <c r="AT15" i="22"/>
  <c r="AT14" i="22"/>
  <c r="AT13" i="22"/>
  <c r="AT12" i="22"/>
  <c r="AT10" i="22"/>
  <c r="AK10" i="22"/>
  <c r="AB10" i="22"/>
  <c r="AT8" i="22"/>
  <c r="AR8" i="22"/>
  <c r="AT7" i="22"/>
  <c r="AT6" i="22"/>
  <c r="I6" i="22"/>
  <c r="J7" i="22" s="1"/>
  <c r="AT5" i="22"/>
  <c r="AG5" i="22"/>
  <c r="U5" i="22"/>
  <c r="AT4" i="22"/>
  <c r="AG4" i="22"/>
  <c r="U4" i="22"/>
  <c r="AT3" i="22"/>
  <c r="AG3" i="22"/>
  <c r="U3" i="22"/>
  <c r="AT2" i="22"/>
  <c r="AG2" i="22"/>
  <c r="U2" i="22"/>
  <c r="AP57" i="21"/>
  <c r="AP56" i="21"/>
  <c r="AP55" i="21"/>
  <c r="AP54" i="21"/>
  <c r="AP53" i="21"/>
  <c r="AP52" i="21"/>
  <c r="AP51" i="21"/>
  <c r="AP50" i="21"/>
  <c r="AG50" i="21"/>
  <c r="Y50" i="21"/>
  <c r="AP49" i="21"/>
  <c r="AN49" i="21"/>
  <c r="AP48" i="21"/>
  <c r="AP47" i="21"/>
  <c r="AP46" i="21"/>
  <c r="AP45" i="21"/>
  <c r="AP44" i="21"/>
  <c r="AP43" i="21"/>
  <c r="AH42" i="21"/>
  <c r="AI42" i="21" s="1"/>
  <c r="AK42" i="21" s="1"/>
  <c r="AL42" i="21" s="1"/>
  <c r="AM42" i="21" s="1"/>
  <c r="AF42" i="21"/>
  <c r="AG42" i="21" s="1"/>
  <c r="X42" i="21"/>
  <c r="Y42" i="21" s="1"/>
  <c r="Z42" i="21" s="1"/>
  <c r="AA42" i="21" s="1"/>
  <c r="AC42" i="21" s="1"/>
  <c r="AD42" i="21" s="1"/>
  <c r="U42" i="21"/>
  <c r="V42" i="21" s="1"/>
  <c r="AD35" i="21"/>
  <c r="V35" i="21"/>
  <c r="AD34" i="21"/>
  <c r="V34" i="21"/>
  <c r="AD32" i="21"/>
  <c r="V32" i="21"/>
  <c r="AD31" i="21"/>
  <c r="V31" i="21"/>
  <c r="AD30" i="21"/>
  <c r="V30" i="21"/>
  <c r="AD29" i="21"/>
  <c r="V29" i="21"/>
  <c r="S27" i="21"/>
  <c r="S26" i="21"/>
  <c r="AG18" i="21"/>
  <c r="AP15" i="21"/>
  <c r="AP14" i="21"/>
  <c r="AP13" i="21"/>
  <c r="AP12" i="21"/>
  <c r="AP11" i="21"/>
  <c r="AP10" i="21"/>
  <c r="AP9" i="21"/>
  <c r="AG9" i="21"/>
  <c r="Y9" i="21"/>
  <c r="AP8" i="21"/>
  <c r="AN8" i="21"/>
  <c r="AP7" i="21"/>
  <c r="AP6" i="21"/>
  <c r="AP5" i="21"/>
  <c r="AD5" i="21"/>
  <c r="S5" i="21"/>
  <c r="I6" i="21" s="1"/>
  <c r="J7" i="21" s="1"/>
  <c r="K8" i="21" s="1"/>
  <c r="S8" i="21" s="1"/>
  <c r="AP4" i="21"/>
  <c r="AD4" i="21"/>
  <c r="S4" i="21"/>
  <c r="AP3" i="21"/>
  <c r="AD3" i="21"/>
  <c r="S3" i="21"/>
  <c r="AP2" i="21"/>
  <c r="AD2" i="21"/>
  <c r="S2" i="21"/>
  <c r="AP57" i="20"/>
  <c r="AP56" i="20"/>
  <c r="AP55" i="20"/>
  <c r="AP54" i="20"/>
  <c r="AP53" i="20"/>
  <c r="AP52" i="20"/>
  <c r="AP51" i="20"/>
  <c r="AP50" i="20"/>
  <c r="AG50" i="20"/>
  <c r="Y50" i="20"/>
  <c r="AP49" i="20"/>
  <c r="AN49" i="20"/>
  <c r="AP48" i="20"/>
  <c r="J48" i="20"/>
  <c r="AP47" i="20"/>
  <c r="AP46" i="20"/>
  <c r="AP45" i="20"/>
  <c r="AP44" i="20"/>
  <c r="AP43" i="20"/>
  <c r="AL42" i="20"/>
  <c r="AM42" i="20" s="1"/>
  <c r="AG42" i="20"/>
  <c r="AH42" i="20" s="1"/>
  <c r="AI42" i="20" s="1"/>
  <c r="AK42" i="20" s="1"/>
  <c r="AF42" i="20"/>
  <c r="X42" i="20"/>
  <c r="Y42" i="20" s="1"/>
  <c r="Z42" i="20" s="1"/>
  <c r="AA42" i="20" s="1"/>
  <c r="AC42" i="20" s="1"/>
  <c r="AD42" i="20" s="1"/>
  <c r="V42" i="20"/>
  <c r="U42" i="20"/>
  <c r="AD35" i="20"/>
  <c r="V35" i="20"/>
  <c r="AD34" i="20"/>
  <c r="V34" i="20"/>
  <c r="AD32" i="20"/>
  <c r="V32" i="20"/>
  <c r="AD31" i="20"/>
  <c r="V31" i="20"/>
  <c r="AD30" i="20"/>
  <c r="V30" i="20"/>
  <c r="AD29" i="20"/>
  <c r="V29" i="20"/>
  <c r="S27" i="20"/>
  <c r="S26" i="20"/>
  <c r="AG18" i="20"/>
  <c r="AP15" i="20"/>
  <c r="AP14" i="20"/>
  <c r="AP13" i="20"/>
  <c r="AP12" i="20"/>
  <c r="AP11" i="20"/>
  <c r="AP10" i="20"/>
  <c r="AP9" i="20"/>
  <c r="AG9" i="20"/>
  <c r="Y9" i="20"/>
  <c r="AP8" i="20"/>
  <c r="AN8" i="20"/>
  <c r="AP7" i="20"/>
  <c r="AP6" i="20"/>
  <c r="AP5" i="20"/>
  <c r="AD5" i="20"/>
  <c r="S5" i="20"/>
  <c r="I6" i="20" s="1"/>
  <c r="J7" i="20" s="1"/>
  <c r="AP4" i="20"/>
  <c r="AD4" i="20"/>
  <c r="S4" i="20"/>
  <c r="AP3" i="20"/>
  <c r="AD3" i="20"/>
  <c r="S3" i="20"/>
  <c r="AP2" i="20"/>
  <c r="AD2" i="20"/>
  <c r="S2" i="20"/>
  <c r="AP57" i="19"/>
  <c r="AP56" i="19"/>
  <c r="AP55" i="19"/>
  <c r="AP54" i="19"/>
  <c r="AP53" i="19"/>
  <c r="AP52" i="19"/>
  <c r="AP51" i="19"/>
  <c r="AP50" i="19"/>
  <c r="AG50" i="19"/>
  <c r="Y50" i="19"/>
  <c r="AP49" i="19"/>
  <c r="AN49" i="19"/>
  <c r="AP48" i="19"/>
  <c r="AP47" i="19"/>
  <c r="AP46" i="19"/>
  <c r="AP45" i="19"/>
  <c r="AD45" i="19"/>
  <c r="AP44" i="19"/>
  <c r="AP43" i="19"/>
  <c r="AH42" i="19"/>
  <c r="AI42" i="19" s="1"/>
  <c r="AK42" i="19" s="1"/>
  <c r="AL42" i="19" s="1"/>
  <c r="AM42" i="19" s="1"/>
  <c r="AG42" i="19"/>
  <c r="AF42" i="19"/>
  <c r="X42" i="19"/>
  <c r="Y42" i="19" s="1"/>
  <c r="Z42" i="19" s="1"/>
  <c r="AA42" i="19" s="1"/>
  <c r="AC42" i="19" s="1"/>
  <c r="AD42" i="19" s="1"/>
  <c r="V42" i="19"/>
  <c r="U42" i="19"/>
  <c r="AD35" i="19"/>
  <c r="V35" i="19"/>
  <c r="AD34" i="19"/>
  <c r="V34" i="19"/>
  <c r="AD32" i="19"/>
  <c r="V32" i="19"/>
  <c r="AD31" i="19"/>
  <c r="V31" i="19"/>
  <c r="AD30" i="19"/>
  <c r="V30" i="19"/>
  <c r="AD29" i="19"/>
  <c r="V29" i="19"/>
  <c r="S27" i="19"/>
  <c r="S26" i="19"/>
  <c r="AG18" i="19"/>
  <c r="AP15" i="19"/>
  <c r="AP14" i="19"/>
  <c r="AP13" i="19"/>
  <c r="AP12" i="19"/>
  <c r="AP11" i="19"/>
  <c r="AP10" i="19"/>
  <c r="AP9" i="19"/>
  <c r="AG9" i="19"/>
  <c r="Y9" i="19"/>
  <c r="AP8" i="19"/>
  <c r="AN8" i="19"/>
  <c r="AP7" i="19"/>
  <c r="S7" i="19"/>
  <c r="J7" i="19"/>
  <c r="K8" i="19" s="1"/>
  <c r="S8" i="19" s="1"/>
  <c r="AP6" i="19"/>
  <c r="I6" i="19"/>
  <c r="AP5" i="19"/>
  <c r="AD5" i="19"/>
  <c r="S5" i="19"/>
  <c r="AP4" i="19"/>
  <c r="AD4" i="19"/>
  <c r="S4" i="19"/>
  <c r="AP3" i="19"/>
  <c r="AD3" i="19"/>
  <c r="S3" i="19"/>
  <c r="AP2" i="19"/>
  <c r="AD2" i="19"/>
  <c r="S2" i="19"/>
  <c r="AP57" i="18"/>
  <c r="AP56" i="18"/>
  <c r="AP55" i="18"/>
  <c r="AP54" i="18"/>
  <c r="AP53" i="18"/>
  <c r="AP52" i="18"/>
  <c r="AP51" i="18"/>
  <c r="AP50" i="18"/>
  <c r="AG50" i="18"/>
  <c r="Y50" i="18"/>
  <c r="AP49" i="18"/>
  <c r="AN49" i="18"/>
  <c r="AP48" i="18"/>
  <c r="AP47" i="18"/>
  <c r="AP46" i="18"/>
  <c r="AP45" i="18"/>
  <c r="AD45" i="18"/>
  <c r="AP44" i="18"/>
  <c r="S44" i="18"/>
  <c r="AP43" i="18"/>
  <c r="AH42" i="18"/>
  <c r="AI42" i="18" s="1"/>
  <c r="AK42" i="18" s="1"/>
  <c r="AL42" i="18" s="1"/>
  <c r="AM42" i="18" s="1"/>
  <c r="AG42" i="18"/>
  <c r="AF42" i="18"/>
  <c r="X42" i="18"/>
  <c r="Y42" i="18" s="1"/>
  <c r="Z42" i="18" s="1"/>
  <c r="AA42" i="18" s="1"/>
  <c r="AC42" i="18" s="1"/>
  <c r="AD42" i="18" s="1"/>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I6" i="18"/>
  <c r="J7" i="18" s="1"/>
  <c r="AP5" i="18"/>
  <c r="AD5" i="18"/>
  <c r="S5" i="18"/>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P44" i="17"/>
  <c r="AD44" i="17"/>
  <c r="AP43" i="17"/>
  <c r="S43" i="17"/>
  <c r="AF42" i="17"/>
  <c r="AG42" i="17" s="1"/>
  <c r="AH42" i="17" s="1"/>
  <c r="AI42" i="17" s="1"/>
  <c r="AK42" i="17" s="1"/>
  <c r="AL42" i="17" s="1"/>
  <c r="AM42" i="17" s="1"/>
  <c r="Y42" i="17"/>
  <c r="Z42" i="17" s="1"/>
  <c r="AA42" i="17" s="1"/>
  <c r="AC42" i="17" s="1"/>
  <c r="AD42" i="17" s="1"/>
  <c r="X42" i="17"/>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AP43" i="16"/>
  <c r="AM43" i="16"/>
  <c r="AG42" i="16"/>
  <c r="AH42" i="16" s="1"/>
  <c r="AI42" i="16" s="1"/>
  <c r="AK42" i="16" s="1"/>
  <c r="AL42" i="16" s="1"/>
  <c r="AM42" i="16" s="1"/>
  <c r="AF42" i="16"/>
  <c r="X42" i="16"/>
  <c r="Y42" i="16" s="1"/>
  <c r="Z42" i="16" s="1"/>
  <c r="AA42" i="16" s="1"/>
  <c r="AC42" i="16" s="1"/>
  <c r="AD42" i="16" s="1"/>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AP4" i="16"/>
  <c r="AD4" i="16"/>
  <c r="S4" i="16"/>
  <c r="AP3" i="16"/>
  <c r="AD3" i="16"/>
  <c r="S3" i="16"/>
  <c r="AP2" i="16"/>
  <c r="AD2" i="16"/>
  <c r="S2" i="16"/>
  <c r="G17" i="15"/>
  <c r="G14" i="15"/>
  <c r="E13" i="15"/>
  <c r="D6" i="15"/>
  <c r="V190" i="14"/>
  <c r="N175" i="14"/>
  <c r="N170" i="14"/>
  <c r="N164" i="14"/>
  <c r="N153" i="14"/>
  <c r="N148" i="14"/>
  <c r="N142" i="14"/>
  <c r="R127" i="14"/>
  <c r="Q127" i="14"/>
  <c r="Q118" i="14"/>
  <c r="H117" i="14"/>
  <c r="H116" i="14"/>
  <c r="H115" i="14"/>
  <c r="Q109" i="14"/>
  <c r="Q106" i="14"/>
  <c r="H105" i="14"/>
  <c r="H104" i="14"/>
  <c r="H103" i="14"/>
  <c r="F97" i="14"/>
  <c r="AD91" i="14"/>
  <c r="AD85" i="14"/>
  <c r="AD80" i="14"/>
  <c r="AD72" i="14"/>
  <c r="F69" i="14"/>
  <c r="P60" i="14"/>
  <c r="I25" i="14"/>
  <c r="I19" i="14"/>
  <c r="O14" i="14"/>
  <c r="M14" i="14" a="1"/>
  <c r="M14" i="14"/>
  <c r="J14" i="14"/>
  <c r="F14" i="14"/>
  <c r="E14" i="14"/>
  <c r="G13" i="14"/>
  <c r="E13" i="14"/>
  <c r="I53" i="13"/>
  <c r="H53" i="13"/>
  <c r="G53" i="13"/>
  <c r="J52" i="13"/>
  <c r="I52" i="13"/>
  <c r="H52" i="13"/>
  <c r="G52" i="13"/>
  <c r="J51" i="13"/>
  <c r="I51" i="13"/>
  <c r="H51" i="13"/>
  <c r="G51" i="13"/>
  <c r="J50" i="13"/>
  <c r="I50" i="13"/>
  <c r="H50" i="13"/>
  <c r="G50" i="13"/>
  <c r="J49" i="13"/>
  <c r="I49" i="13"/>
  <c r="H49" i="13"/>
  <c r="G49" i="13"/>
  <c r="I48" i="13"/>
  <c r="H48" i="13"/>
  <c r="G48" i="13"/>
  <c r="J47" i="13"/>
  <c r="J45" i="13" s="1"/>
  <c r="E5" i="2" s="1"/>
  <c r="I47" i="13"/>
  <c r="H47" i="13"/>
  <c r="G47" i="13"/>
  <c r="J46" i="13"/>
  <c r="I46" i="13"/>
  <c r="K45" i="13"/>
  <c r="I45" i="13"/>
  <c r="G36" i="13"/>
  <c r="F36" i="13"/>
  <c r="F32" i="13"/>
  <c r="E32" i="13"/>
  <c r="F29" i="13"/>
  <c r="E29" i="13"/>
  <c r="U148" i="12"/>
  <c r="M148" i="12"/>
  <c r="E12" i="15" s="1"/>
  <c r="K101" i="12"/>
  <c r="N101" i="12" s="1"/>
  <c r="J130" i="40" s="1"/>
  <c r="J101" i="12"/>
  <c r="M101" i="12" s="1"/>
  <c r="F130" i="40" s="1"/>
  <c r="I101" i="12"/>
  <c r="L101" i="12" s="1"/>
  <c r="E130" i="40" s="1"/>
  <c r="M100" i="12"/>
  <c r="F129" i="40" s="1"/>
  <c r="K100" i="12"/>
  <c r="N100" i="12" s="1"/>
  <c r="J129" i="40" s="1"/>
  <c r="J100" i="12"/>
  <c r="I100" i="12"/>
  <c r="L100" i="12" s="1"/>
  <c r="E129" i="40" s="1"/>
  <c r="K99" i="12"/>
  <c r="N99" i="12" s="1"/>
  <c r="J128" i="40" s="1"/>
  <c r="J99" i="12"/>
  <c r="M99" i="12" s="1"/>
  <c r="F128" i="40" s="1"/>
  <c r="I99" i="12"/>
  <c r="L99" i="12" s="1"/>
  <c r="E128" i="40" s="1"/>
  <c r="M98" i="12"/>
  <c r="F127" i="40" s="1"/>
  <c r="K98" i="12"/>
  <c r="N98" i="12" s="1"/>
  <c r="J127" i="40" s="1"/>
  <c r="J98" i="12"/>
  <c r="I98" i="12"/>
  <c r="L98" i="12" s="1"/>
  <c r="E127" i="40" s="1"/>
  <c r="K97" i="12"/>
  <c r="N97" i="12" s="1"/>
  <c r="J126" i="40" s="1"/>
  <c r="J97" i="12"/>
  <c r="M97" i="12" s="1"/>
  <c r="F126" i="40" s="1"/>
  <c r="I97" i="12"/>
  <c r="L97" i="12" s="1"/>
  <c r="E126" i="40" s="1"/>
  <c r="M96" i="12"/>
  <c r="F123" i="40" s="1"/>
  <c r="K96" i="12"/>
  <c r="N96" i="12" s="1"/>
  <c r="J123" i="40" s="1"/>
  <c r="J96" i="12"/>
  <c r="I96" i="12"/>
  <c r="L96" i="12" s="1"/>
  <c r="E123" i="40" s="1"/>
  <c r="E124" i="40" s="1"/>
  <c r="K95" i="12"/>
  <c r="N95" i="12" s="1"/>
  <c r="J120" i="40" s="1"/>
  <c r="J95" i="12"/>
  <c r="M95" i="12" s="1"/>
  <c r="F120" i="40" s="1"/>
  <c r="I95" i="12"/>
  <c r="L95" i="12" s="1"/>
  <c r="E120" i="40" s="1"/>
  <c r="E121" i="40" s="1"/>
  <c r="M94" i="12"/>
  <c r="F117" i="40" s="1"/>
  <c r="K94" i="12"/>
  <c r="N94" i="12" s="1"/>
  <c r="J117" i="40" s="1"/>
  <c r="J94" i="12"/>
  <c r="I94" i="12"/>
  <c r="L94" i="12" s="1"/>
  <c r="E117" i="40" s="1"/>
  <c r="E118" i="40" s="1"/>
  <c r="K93" i="12"/>
  <c r="N93" i="12" s="1"/>
  <c r="J116" i="40" s="1"/>
  <c r="J93" i="12"/>
  <c r="M93" i="12" s="1"/>
  <c r="F116" i="40" s="1"/>
  <c r="I93" i="12"/>
  <c r="L93" i="12" s="1"/>
  <c r="E116" i="40" s="1"/>
  <c r="M92" i="12"/>
  <c r="F115" i="40" s="1"/>
  <c r="K92" i="12"/>
  <c r="N92" i="12" s="1"/>
  <c r="J115" i="40" s="1"/>
  <c r="J92" i="12"/>
  <c r="I92" i="12"/>
  <c r="L92" i="12" s="1"/>
  <c r="E115" i="40" s="1"/>
  <c r="K91" i="12"/>
  <c r="N91" i="12" s="1"/>
  <c r="J114" i="40" s="1"/>
  <c r="J91" i="12"/>
  <c r="M91" i="12" s="1"/>
  <c r="F114" i="40" s="1"/>
  <c r="I91" i="12"/>
  <c r="L91" i="12" s="1"/>
  <c r="E114" i="40" s="1"/>
  <c r="M90" i="12"/>
  <c r="F113" i="40" s="1"/>
  <c r="K90" i="12"/>
  <c r="N90" i="12" s="1"/>
  <c r="J113" i="40" s="1"/>
  <c r="J90" i="12"/>
  <c r="I90" i="12"/>
  <c r="L90" i="12" s="1"/>
  <c r="E113" i="40" s="1"/>
  <c r="K89" i="12"/>
  <c r="N89" i="12" s="1"/>
  <c r="J112" i="40" s="1"/>
  <c r="J89" i="12"/>
  <c r="M89" i="12" s="1"/>
  <c r="F112" i="40" s="1"/>
  <c r="I89" i="12"/>
  <c r="L89" i="12" s="1"/>
  <c r="E112" i="40" s="1"/>
  <c r="M88" i="12"/>
  <c r="F111" i="40" s="1"/>
  <c r="K88" i="12"/>
  <c r="N88" i="12" s="1"/>
  <c r="J111" i="40" s="1"/>
  <c r="J88" i="12"/>
  <c r="I88" i="12"/>
  <c r="L88" i="12" s="1"/>
  <c r="E111" i="40" s="1"/>
  <c r="K87" i="12"/>
  <c r="N87" i="12" s="1"/>
  <c r="J110" i="40" s="1"/>
  <c r="J87" i="12"/>
  <c r="M87" i="12" s="1"/>
  <c r="F110" i="40" s="1"/>
  <c r="I87" i="12"/>
  <c r="L87" i="12" s="1"/>
  <c r="E110" i="40" s="1"/>
  <c r="M86" i="12"/>
  <c r="F109" i="40" s="1"/>
  <c r="K86" i="12"/>
  <c r="N86" i="12" s="1"/>
  <c r="J109" i="40" s="1"/>
  <c r="J86" i="12"/>
  <c r="I86" i="12"/>
  <c r="L86" i="12" s="1"/>
  <c r="E109" i="40" s="1"/>
  <c r="K85" i="12"/>
  <c r="N85" i="12" s="1"/>
  <c r="J108" i="40" s="1"/>
  <c r="J85" i="12"/>
  <c r="M85" i="12" s="1"/>
  <c r="F108" i="40" s="1"/>
  <c r="I85" i="12"/>
  <c r="L85" i="12" s="1"/>
  <c r="E108" i="40" s="1"/>
  <c r="M84" i="12"/>
  <c r="F107" i="40" s="1"/>
  <c r="K84" i="12"/>
  <c r="N84" i="12" s="1"/>
  <c r="J107" i="40" s="1"/>
  <c r="J84" i="12"/>
  <c r="I84" i="12"/>
  <c r="L84" i="12" s="1"/>
  <c r="E107" i="40" s="1"/>
  <c r="K83" i="12"/>
  <c r="N83" i="12" s="1"/>
  <c r="J106" i="40" s="1"/>
  <c r="J83" i="12"/>
  <c r="M83" i="12" s="1"/>
  <c r="F106" i="40" s="1"/>
  <c r="I83" i="12"/>
  <c r="L83" i="12" s="1"/>
  <c r="E106" i="40" s="1"/>
  <c r="M82" i="12"/>
  <c r="F105" i="40" s="1"/>
  <c r="K82" i="12"/>
  <c r="N82" i="12" s="1"/>
  <c r="J105" i="40" s="1"/>
  <c r="J82" i="12"/>
  <c r="I82" i="12"/>
  <c r="L82" i="12" s="1"/>
  <c r="E105" i="40" s="1"/>
  <c r="K81" i="12"/>
  <c r="N81" i="12" s="1"/>
  <c r="J104" i="40" s="1"/>
  <c r="J81" i="12"/>
  <c r="M81" i="12" s="1"/>
  <c r="F104" i="40" s="1"/>
  <c r="I81" i="12"/>
  <c r="L81" i="12" s="1"/>
  <c r="E104" i="40" s="1"/>
  <c r="M80" i="12"/>
  <c r="F103" i="40" s="1"/>
  <c r="K80" i="12"/>
  <c r="N80" i="12" s="1"/>
  <c r="J103" i="40" s="1"/>
  <c r="J80" i="12"/>
  <c r="I80" i="12"/>
  <c r="L80" i="12" s="1"/>
  <c r="E103" i="40" s="1"/>
  <c r="K79" i="12"/>
  <c r="N79" i="12" s="1"/>
  <c r="J102" i="40" s="1"/>
  <c r="J79" i="12"/>
  <c r="M79" i="12" s="1"/>
  <c r="F102" i="40" s="1"/>
  <c r="I79" i="12"/>
  <c r="L79" i="12" s="1"/>
  <c r="E102" i="40" s="1"/>
  <c r="M78" i="12"/>
  <c r="F99" i="40" s="1"/>
  <c r="K78" i="12"/>
  <c r="N78" i="12" s="1"/>
  <c r="J99" i="40" s="1"/>
  <c r="J78" i="12"/>
  <c r="I78" i="12"/>
  <c r="L78" i="12" s="1"/>
  <c r="E99" i="40" s="1"/>
  <c r="E100" i="40" s="1"/>
  <c r="K77" i="12"/>
  <c r="N77" i="12" s="1"/>
  <c r="J98" i="40" s="1"/>
  <c r="J77" i="12"/>
  <c r="M77" i="12" s="1"/>
  <c r="F98" i="40" s="1"/>
  <c r="I77" i="12"/>
  <c r="L77" i="12" s="1"/>
  <c r="E98" i="40" s="1"/>
  <c r="M76" i="12"/>
  <c r="F97" i="40" s="1"/>
  <c r="K76" i="12"/>
  <c r="N76" i="12" s="1"/>
  <c r="J97" i="40" s="1"/>
  <c r="J76" i="12"/>
  <c r="I76" i="12"/>
  <c r="L76" i="12" s="1"/>
  <c r="E97" i="40" s="1"/>
  <c r="K75" i="12"/>
  <c r="N75" i="12" s="1"/>
  <c r="J96" i="40" s="1"/>
  <c r="J75" i="12"/>
  <c r="M75" i="12" s="1"/>
  <c r="F96" i="40" s="1"/>
  <c r="I75" i="12"/>
  <c r="L75" i="12" s="1"/>
  <c r="E96" i="40" s="1"/>
  <c r="M74" i="12"/>
  <c r="F95" i="40" s="1"/>
  <c r="K74" i="12"/>
  <c r="N74" i="12" s="1"/>
  <c r="J95" i="40" s="1"/>
  <c r="J74" i="12"/>
  <c r="I74" i="12"/>
  <c r="L74" i="12" s="1"/>
  <c r="E95" i="40" s="1"/>
  <c r="K73" i="12"/>
  <c r="N73" i="12" s="1"/>
  <c r="J94" i="40" s="1"/>
  <c r="J73" i="12"/>
  <c r="M73" i="12" s="1"/>
  <c r="F94" i="40" s="1"/>
  <c r="I73" i="12"/>
  <c r="L73" i="12" s="1"/>
  <c r="E94" i="40" s="1"/>
  <c r="M72" i="12"/>
  <c r="F93" i="40" s="1"/>
  <c r="K72" i="12"/>
  <c r="N72" i="12" s="1"/>
  <c r="J93" i="40" s="1"/>
  <c r="J72" i="12"/>
  <c r="I72" i="12"/>
  <c r="L72" i="12" s="1"/>
  <c r="E93" i="40" s="1"/>
  <c r="K71" i="12"/>
  <c r="N71" i="12" s="1"/>
  <c r="J92" i="40" s="1"/>
  <c r="J71" i="12"/>
  <c r="M71" i="12" s="1"/>
  <c r="F92" i="40" s="1"/>
  <c r="I71" i="12"/>
  <c r="L71" i="12" s="1"/>
  <c r="E92" i="40" s="1"/>
  <c r="M70" i="12"/>
  <c r="F91" i="40" s="1"/>
  <c r="K70" i="12"/>
  <c r="N70" i="12" s="1"/>
  <c r="J91" i="40" s="1"/>
  <c r="J70" i="12"/>
  <c r="I70" i="12"/>
  <c r="L70" i="12" s="1"/>
  <c r="E91" i="40" s="1"/>
  <c r="M69" i="12"/>
  <c r="F90" i="40" s="1"/>
  <c r="K69" i="12"/>
  <c r="N69" i="12" s="1"/>
  <c r="J90" i="40" s="1"/>
  <c r="J69" i="12"/>
  <c r="I69" i="12"/>
  <c r="L69" i="12" s="1"/>
  <c r="E90" i="40" s="1"/>
  <c r="M68" i="12"/>
  <c r="F89" i="40" s="1"/>
  <c r="K68" i="12"/>
  <c r="N68" i="12" s="1"/>
  <c r="J89" i="40" s="1"/>
  <c r="J68" i="12"/>
  <c r="I68" i="12"/>
  <c r="L68" i="12" s="1"/>
  <c r="E89" i="40" s="1"/>
  <c r="M67" i="12"/>
  <c r="F88" i="40" s="1"/>
  <c r="K67" i="12"/>
  <c r="N67" i="12" s="1"/>
  <c r="J88" i="40" s="1"/>
  <c r="J67" i="12"/>
  <c r="I67" i="12"/>
  <c r="L67" i="12" s="1"/>
  <c r="E88" i="40" s="1"/>
  <c r="M66" i="12"/>
  <c r="F87" i="40" s="1"/>
  <c r="K66" i="12"/>
  <c r="N66" i="12" s="1"/>
  <c r="J87" i="40" s="1"/>
  <c r="J66" i="12"/>
  <c r="I66" i="12"/>
  <c r="L66" i="12" s="1"/>
  <c r="E87" i="40" s="1"/>
  <c r="M65" i="12"/>
  <c r="F86" i="40" s="1"/>
  <c r="K65" i="12"/>
  <c r="N65" i="12" s="1"/>
  <c r="J86" i="40" s="1"/>
  <c r="J65" i="12"/>
  <c r="I65" i="12"/>
  <c r="L65" i="12" s="1"/>
  <c r="E86" i="40" s="1"/>
  <c r="M64" i="12"/>
  <c r="F85" i="40" s="1"/>
  <c r="K64" i="12"/>
  <c r="N64" i="12" s="1"/>
  <c r="J85" i="40" s="1"/>
  <c r="J64" i="12"/>
  <c r="I64" i="12"/>
  <c r="L64" i="12" s="1"/>
  <c r="E85" i="40" s="1"/>
  <c r="M63" i="12"/>
  <c r="F84" i="40" s="1"/>
  <c r="K63" i="12"/>
  <c r="N63" i="12" s="1"/>
  <c r="J84" i="40" s="1"/>
  <c r="J63" i="12"/>
  <c r="I63" i="12"/>
  <c r="L63" i="12" s="1"/>
  <c r="E84" i="40" s="1"/>
  <c r="M62" i="12"/>
  <c r="F83" i="40" s="1"/>
  <c r="K62" i="12"/>
  <c r="N62" i="12" s="1"/>
  <c r="J83" i="40" s="1"/>
  <c r="J62" i="12"/>
  <c r="I62" i="12"/>
  <c r="L62" i="12" s="1"/>
  <c r="E83" i="40" s="1"/>
  <c r="M61" i="12"/>
  <c r="F82" i="40" s="1"/>
  <c r="K61" i="12"/>
  <c r="N61" i="12" s="1"/>
  <c r="J82" i="40" s="1"/>
  <c r="J61" i="12"/>
  <c r="I61" i="12"/>
  <c r="L61" i="12" s="1"/>
  <c r="E82" i="40" s="1"/>
  <c r="M60" i="12"/>
  <c r="F81" i="40" s="1"/>
  <c r="K60" i="12"/>
  <c r="N60" i="12" s="1"/>
  <c r="J81" i="40" s="1"/>
  <c r="J60" i="12"/>
  <c r="I60" i="12"/>
  <c r="L60" i="12" s="1"/>
  <c r="E81" i="40" s="1"/>
  <c r="M59" i="12"/>
  <c r="F80" i="40" s="1"/>
  <c r="K59" i="12"/>
  <c r="N59" i="12" s="1"/>
  <c r="J80" i="40" s="1"/>
  <c r="J59" i="12"/>
  <c r="I59" i="12"/>
  <c r="L59" i="12" s="1"/>
  <c r="E80" i="40" s="1"/>
  <c r="M58" i="12"/>
  <c r="F79" i="40" s="1"/>
  <c r="K58" i="12"/>
  <c r="N58" i="12" s="1"/>
  <c r="J79" i="40" s="1"/>
  <c r="J58" i="12"/>
  <c r="I58" i="12"/>
  <c r="L58" i="12" s="1"/>
  <c r="E79" i="40" s="1"/>
  <c r="M57" i="12"/>
  <c r="F78" i="40" s="1"/>
  <c r="K57" i="12"/>
  <c r="N57" i="12" s="1"/>
  <c r="J78" i="40" s="1"/>
  <c r="J57" i="12"/>
  <c r="I57" i="12"/>
  <c r="L57" i="12" s="1"/>
  <c r="E78" i="40" s="1"/>
  <c r="M56" i="12"/>
  <c r="F77" i="40" s="1"/>
  <c r="K56" i="12"/>
  <c r="N56" i="12" s="1"/>
  <c r="J77" i="40" s="1"/>
  <c r="J56" i="12"/>
  <c r="I56" i="12"/>
  <c r="L56" i="12" s="1"/>
  <c r="E77" i="40" s="1"/>
  <c r="M55" i="12"/>
  <c r="F76" i="40" s="1"/>
  <c r="K55" i="12"/>
  <c r="N55" i="12" s="1"/>
  <c r="J76" i="40" s="1"/>
  <c r="J55" i="12"/>
  <c r="I55" i="12"/>
  <c r="L55" i="12" s="1"/>
  <c r="E76" i="40" s="1"/>
  <c r="M54" i="12"/>
  <c r="F75" i="40" s="1"/>
  <c r="K54" i="12"/>
  <c r="N54" i="12" s="1"/>
  <c r="J75" i="40" s="1"/>
  <c r="J54" i="12"/>
  <c r="I54" i="12"/>
  <c r="L54" i="12" s="1"/>
  <c r="E75" i="40" s="1"/>
  <c r="M53" i="12"/>
  <c r="F74" i="40" s="1"/>
  <c r="K53" i="12"/>
  <c r="N53" i="12" s="1"/>
  <c r="J74" i="40" s="1"/>
  <c r="J53" i="12"/>
  <c r="I53" i="12"/>
  <c r="L53" i="12" s="1"/>
  <c r="E74" i="40" s="1"/>
  <c r="M52" i="12"/>
  <c r="F73" i="40" s="1"/>
  <c r="K52" i="12"/>
  <c r="N52" i="12" s="1"/>
  <c r="J73" i="40" s="1"/>
  <c r="J52" i="12"/>
  <c r="I52" i="12"/>
  <c r="L52" i="12" s="1"/>
  <c r="E73" i="40" s="1"/>
  <c r="M51" i="12"/>
  <c r="F72" i="40" s="1"/>
  <c r="K51" i="12"/>
  <c r="N51" i="12" s="1"/>
  <c r="J72" i="40" s="1"/>
  <c r="J51" i="12"/>
  <c r="I51" i="12"/>
  <c r="L51" i="12" s="1"/>
  <c r="E72" i="40" s="1"/>
  <c r="M50" i="12"/>
  <c r="F69" i="40" s="1"/>
  <c r="K50" i="12"/>
  <c r="N50" i="12" s="1"/>
  <c r="J69" i="40" s="1"/>
  <c r="J50" i="12"/>
  <c r="I50" i="12"/>
  <c r="L50" i="12" s="1"/>
  <c r="E69" i="40" s="1"/>
  <c r="M49" i="12"/>
  <c r="F68" i="40" s="1"/>
  <c r="K49" i="12"/>
  <c r="N49" i="12" s="1"/>
  <c r="J68" i="40" s="1"/>
  <c r="L68" i="40" s="1"/>
  <c r="J49" i="12"/>
  <c r="I49" i="12"/>
  <c r="L49" i="12" s="1"/>
  <c r="E68" i="40" s="1"/>
  <c r="K68" i="40" s="1"/>
  <c r="M48" i="12"/>
  <c r="F67" i="40" s="1"/>
  <c r="K48" i="12"/>
  <c r="N48" i="12" s="1"/>
  <c r="J67" i="40" s="1"/>
  <c r="J48" i="12"/>
  <c r="I48" i="12"/>
  <c r="L48" i="12" s="1"/>
  <c r="E67" i="40" s="1"/>
  <c r="K67" i="40" s="1"/>
  <c r="M47" i="12"/>
  <c r="F66" i="40" s="1"/>
  <c r="K47" i="12"/>
  <c r="N47" i="12" s="1"/>
  <c r="J66" i="40" s="1"/>
  <c r="L66" i="40" s="1"/>
  <c r="J47" i="12"/>
  <c r="I47" i="12"/>
  <c r="L47" i="12" s="1"/>
  <c r="E66" i="40" s="1"/>
  <c r="K66" i="40" s="1"/>
  <c r="M46" i="12"/>
  <c r="F65" i="40" s="1"/>
  <c r="K46" i="12"/>
  <c r="N46" i="12" s="1"/>
  <c r="J65" i="40" s="1"/>
  <c r="J46" i="12"/>
  <c r="I46" i="12"/>
  <c r="L46" i="12" s="1"/>
  <c r="E65" i="40" s="1"/>
  <c r="K65" i="40" s="1"/>
  <c r="M45" i="12"/>
  <c r="F64" i="40" s="1"/>
  <c r="K45" i="12"/>
  <c r="N45" i="12" s="1"/>
  <c r="J64" i="40" s="1"/>
  <c r="J45" i="12"/>
  <c r="I45" i="12"/>
  <c r="L45" i="12" s="1"/>
  <c r="E64" i="40" s="1"/>
  <c r="K64" i="40" s="1"/>
  <c r="M44" i="12"/>
  <c r="F63" i="40" s="1"/>
  <c r="K44" i="12"/>
  <c r="N44" i="12" s="1"/>
  <c r="J63" i="40" s="1"/>
  <c r="J44" i="12"/>
  <c r="I44" i="12"/>
  <c r="L44" i="12" s="1"/>
  <c r="E63" i="40" s="1"/>
  <c r="K63" i="40" s="1"/>
  <c r="M43" i="12"/>
  <c r="F62" i="40" s="1"/>
  <c r="K43" i="12"/>
  <c r="N43" i="12" s="1"/>
  <c r="J62" i="40" s="1"/>
  <c r="J43" i="12"/>
  <c r="I43" i="12"/>
  <c r="L43" i="12" s="1"/>
  <c r="E62" i="40" s="1"/>
  <c r="K62" i="40" s="1"/>
  <c r="M42" i="12"/>
  <c r="F61" i="40" s="1"/>
  <c r="K42" i="12"/>
  <c r="N42" i="12" s="1"/>
  <c r="J61" i="40" s="1"/>
  <c r="J42" i="12"/>
  <c r="I42" i="12"/>
  <c r="L42" i="12" s="1"/>
  <c r="E61" i="40" s="1"/>
  <c r="K61" i="40" s="1"/>
  <c r="M41" i="12"/>
  <c r="F60" i="40" s="1"/>
  <c r="K41" i="12"/>
  <c r="N41" i="12" s="1"/>
  <c r="J60" i="40" s="1"/>
  <c r="J41" i="12"/>
  <c r="I41" i="12"/>
  <c r="L41" i="12" s="1"/>
  <c r="E60" i="40" s="1"/>
  <c r="K60" i="40" s="1"/>
  <c r="M40" i="12"/>
  <c r="F59" i="40" s="1"/>
  <c r="K40" i="12"/>
  <c r="N40" i="12" s="1"/>
  <c r="J59" i="40" s="1"/>
  <c r="J40" i="12"/>
  <c r="I40" i="12"/>
  <c r="L40" i="12" s="1"/>
  <c r="E59" i="40" s="1"/>
  <c r="K59" i="40" s="1"/>
  <c r="M39" i="12"/>
  <c r="F58" i="40" s="1"/>
  <c r="K39" i="12"/>
  <c r="N39" i="12" s="1"/>
  <c r="J58" i="40" s="1"/>
  <c r="J39" i="12"/>
  <c r="I39" i="12"/>
  <c r="L39" i="12" s="1"/>
  <c r="E58" i="40" s="1"/>
  <c r="K58" i="40" s="1"/>
  <c r="M38" i="12"/>
  <c r="F57" i="40" s="1"/>
  <c r="K38" i="12"/>
  <c r="N38" i="12" s="1"/>
  <c r="J57" i="40" s="1"/>
  <c r="J38" i="12"/>
  <c r="I38" i="12"/>
  <c r="L38" i="12" s="1"/>
  <c r="E57" i="40" s="1"/>
  <c r="K57" i="40" s="1"/>
  <c r="M37" i="12"/>
  <c r="F56" i="40" s="1"/>
  <c r="K37" i="12"/>
  <c r="N37" i="12" s="1"/>
  <c r="J56" i="40" s="1"/>
  <c r="J37" i="12"/>
  <c r="I37" i="12"/>
  <c r="L37" i="12" s="1"/>
  <c r="E56" i="40" s="1"/>
  <c r="K56" i="40" s="1"/>
  <c r="M36" i="12"/>
  <c r="F55" i="40" s="1"/>
  <c r="K36" i="12"/>
  <c r="N36" i="12" s="1"/>
  <c r="J55" i="40" s="1"/>
  <c r="J36" i="12"/>
  <c r="I36" i="12"/>
  <c r="L36" i="12" s="1"/>
  <c r="E55" i="40" s="1"/>
  <c r="K55" i="40" s="1"/>
  <c r="M35" i="12"/>
  <c r="F54" i="40" s="1"/>
  <c r="K35" i="12"/>
  <c r="N35" i="12" s="1"/>
  <c r="J54" i="40" s="1"/>
  <c r="J35" i="12"/>
  <c r="I35" i="12"/>
  <c r="L35" i="12" s="1"/>
  <c r="E54" i="40" s="1"/>
  <c r="K54" i="40" s="1"/>
  <c r="M34" i="12"/>
  <c r="F53" i="40" s="1"/>
  <c r="K34" i="12"/>
  <c r="N34" i="12" s="1"/>
  <c r="J53" i="40" s="1"/>
  <c r="J34" i="12"/>
  <c r="I34" i="12"/>
  <c r="L34" i="12" s="1"/>
  <c r="E53" i="40" s="1"/>
  <c r="K53" i="40" s="1"/>
  <c r="M33" i="12"/>
  <c r="F52" i="40" s="1"/>
  <c r="K33" i="12"/>
  <c r="N33" i="12" s="1"/>
  <c r="J52" i="40" s="1"/>
  <c r="J33" i="12"/>
  <c r="I33" i="12"/>
  <c r="L33" i="12" s="1"/>
  <c r="E52" i="40" s="1"/>
  <c r="K52" i="40" s="1"/>
  <c r="M32" i="12"/>
  <c r="F51" i="40" s="1"/>
  <c r="K32" i="12"/>
  <c r="N32" i="12" s="1"/>
  <c r="J51" i="40" s="1"/>
  <c r="J32" i="12"/>
  <c r="I32" i="12"/>
  <c r="L32" i="12" s="1"/>
  <c r="E51" i="40" s="1"/>
  <c r="K51" i="40" s="1"/>
  <c r="M31" i="12"/>
  <c r="F50" i="40" s="1"/>
  <c r="K31" i="12"/>
  <c r="N31" i="12" s="1"/>
  <c r="J50" i="40" s="1"/>
  <c r="J31" i="12"/>
  <c r="I31" i="12"/>
  <c r="L31" i="12" s="1"/>
  <c r="E50" i="40" s="1"/>
  <c r="K50" i="40" s="1"/>
  <c r="M30" i="12"/>
  <c r="F49" i="40" s="1"/>
  <c r="K30" i="12"/>
  <c r="N30" i="12" s="1"/>
  <c r="J49" i="40" s="1"/>
  <c r="J30" i="12"/>
  <c r="I30" i="12"/>
  <c r="L30" i="12" s="1"/>
  <c r="E49" i="40" s="1"/>
  <c r="K49" i="40" s="1"/>
  <c r="M29" i="12"/>
  <c r="F48" i="40" s="1"/>
  <c r="K29" i="12"/>
  <c r="N29" i="12" s="1"/>
  <c r="J48" i="40" s="1"/>
  <c r="J29" i="12"/>
  <c r="I29" i="12"/>
  <c r="L29" i="12" s="1"/>
  <c r="E48" i="40" s="1"/>
  <c r="K48" i="40" s="1"/>
  <c r="M28" i="12"/>
  <c r="F47" i="40" s="1"/>
  <c r="K28" i="12"/>
  <c r="N28" i="12" s="1"/>
  <c r="J47" i="40" s="1"/>
  <c r="J28" i="12"/>
  <c r="I28" i="12"/>
  <c r="L28" i="12" s="1"/>
  <c r="E47" i="40" s="1"/>
  <c r="K47" i="40" s="1"/>
  <c r="M27" i="12"/>
  <c r="F46" i="40" s="1"/>
  <c r="K27" i="12"/>
  <c r="N27" i="12" s="1"/>
  <c r="J46" i="40" s="1"/>
  <c r="J27" i="12"/>
  <c r="I27" i="12"/>
  <c r="L27" i="12" s="1"/>
  <c r="E46" i="40" s="1"/>
  <c r="K46" i="40" s="1"/>
  <c r="M26" i="12"/>
  <c r="F45" i="40" s="1"/>
  <c r="K26" i="12"/>
  <c r="N26" i="12" s="1"/>
  <c r="J45" i="40" s="1"/>
  <c r="J26" i="12"/>
  <c r="I26" i="12"/>
  <c r="L26" i="12" s="1"/>
  <c r="E45" i="40" s="1"/>
  <c r="K45" i="40" s="1"/>
  <c r="M25" i="12"/>
  <c r="F44" i="40" s="1"/>
  <c r="K25" i="12"/>
  <c r="N25" i="12" s="1"/>
  <c r="J44" i="40" s="1"/>
  <c r="J25" i="12"/>
  <c r="I25" i="12"/>
  <c r="L25" i="12" s="1"/>
  <c r="E44" i="40" s="1"/>
  <c r="K44" i="40" s="1"/>
  <c r="M24" i="12"/>
  <c r="F43" i="40" s="1"/>
  <c r="K24" i="12"/>
  <c r="N24" i="12" s="1"/>
  <c r="J43" i="40" s="1"/>
  <c r="J24" i="12"/>
  <c r="I24" i="12"/>
  <c r="L24" i="12" s="1"/>
  <c r="E43" i="40" s="1"/>
  <c r="K43" i="40" s="1"/>
  <c r="M23" i="12"/>
  <c r="F42" i="40" s="1"/>
  <c r="K23" i="12"/>
  <c r="N23" i="12" s="1"/>
  <c r="J42" i="40" s="1"/>
  <c r="J23" i="12"/>
  <c r="I23" i="12"/>
  <c r="L23" i="12" s="1"/>
  <c r="E42" i="40" s="1"/>
  <c r="K42" i="40" s="1"/>
  <c r="M22" i="12"/>
  <c r="F41" i="40" s="1"/>
  <c r="K22" i="12"/>
  <c r="N22" i="12" s="1"/>
  <c r="J41" i="40" s="1"/>
  <c r="J22" i="12"/>
  <c r="I22" i="12"/>
  <c r="L22" i="12" s="1"/>
  <c r="E41" i="40" s="1"/>
  <c r="K41" i="40" s="1"/>
  <c r="M21" i="12"/>
  <c r="F33" i="40" s="1"/>
  <c r="K21" i="12"/>
  <c r="N21" i="12" s="1"/>
  <c r="J33" i="40" s="1"/>
  <c r="J21" i="12"/>
  <c r="I21" i="12"/>
  <c r="L21" i="12" s="1"/>
  <c r="E33" i="40" s="1"/>
  <c r="M20" i="12"/>
  <c r="F32" i="40" s="1"/>
  <c r="K20" i="12"/>
  <c r="N20" i="12" s="1"/>
  <c r="J32" i="40" s="1"/>
  <c r="J20" i="12"/>
  <c r="I20" i="12"/>
  <c r="L20" i="12" s="1"/>
  <c r="E32" i="40" s="1"/>
  <c r="K32" i="40" s="1"/>
  <c r="M19" i="12"/>
  <c r="F31" i="40" s="1"/>
  <c r="K19" i="12"/>
  <c r="N19" i="12" s="1"/>
  <c r="J31" i="40" s="1"/>
  <c r="J19" i="12"/>
  <c r="I19" i="12"/>
  <c r="L19" i="12" s="1"/>
  <c r="E31" i="40" s="1"/>
  <c r="M18" i="12"/>
  <c r="F30" i="40" s="1"/>
  <c r="K18" i="12"/>
  <c r="N18" i="12" s="1"/>
  <c r="J30" i="40" s="1"/>
  <c r="J18" i="12"/>
  <c r="I18" i="12"/>
  <c r="L18" i="12" s="1"/>
  <c r="E30" i="40" s="1"/>
  <c r="AA16" i="12"/>
  <c r="N16" i="12"/>
  <c r="I21" i="32" s="1"/>
  <c r="AA15" i="12"/>
  <c r="U15" i="12"/>
  <c r="N15" i="12"/>
  <c r="I19" i="32" s="1"/>
  <c r="M15" i="12"/>
  <c r="E19" i="32" s="1"/>
  <c r="U14" i="12"/>
  <c r="N14" i="12"/>
  <c r="I18" i="32" s="1"/>
  <c r="M14" i="12"/>
  <c r="E18" i="32" s="1"/>
  <c r="AA13" i="12"/>
  <c r="N13" i="12"/>
  <c r="I17" i="32" s="1"/>
  <c r="M13" i="12"/>
  <c r="E17" i="32" s="1"/>
  <c r="AA12" i="12"/>
  <c r="N12" i="12"/>
  <c r="M12" i="12"/>
  <c r="E16" i="32" s="1"/>
  <c r="AA11" i="12"/>
  <c r="N11" i="12"/>
  <c r="I15" i="32" s="1"/>
  <c r="M11" i="12"/>
  <c r="E15" i="32" s="1"/>
  <c r="N3" i="12"/>
  <c r="C34" i="11"/>
  <c r="E30" i="11"/>
  <c r="C30" i="11"/>
  <c r="E29" i="11"/>
  <c r="C29" i="11"/>
  <c r="D5" i="29" s="1"/>
  <c r="C8" i="11"/>
  <c r="D3" i="44" s="1"/>
  <c r="C7" i="11"/>
  <c r="E5" i="41" s="1"/>
  <c r="E6" i="11"/>
  <c r="C6" i="11"/>
  <c r="E21" i="40" s="1"/>
  <c r="E5" i="11"/>
  <c r="C5" i="11"/>
  <c r="D5" i="15" s="1"/>
  <c r="E4" i="11"/>
  <c r="C4" i="11"/>
  <c r="D4" i="7" s="1"/>
  <c r="E3" i="11"/>
  <c r="C3" i="11"/>
  <c r="D5" i="32" s="1"/>
  <c r="C2" i="11"/>
  <c r="G15" i="10"/>
  <c r="E5" i="10"/>
  <c r="E11" i="9"/>
  <c r="D7" i="9"/>
  <c r="F13" i="8"/>
  <c r="E13" i="8"/>
  <c r="F8" i="8"/>
  <c r="E8" i="8"/>
  <c r="D5" i="8"/>
  <c r="D4" i="8"/>
  <c r="D53" i="7"/>
  <c r="D52" i="7"/>
  <c r="G50" i="7"/>
  <c r="E45" i="7"/>
  <c r="G44" i="7"/>
  <c r="E43" i="7"/>
  <c r="G42" i="7"/>
  <c r="E42" i="7"/>
  <c r="G38" i="7"/>
  <c r="E38" i="7"/>
  <c r="E37" i="7"/>
  <c r="E36" i="7"/>
  <c r="G35" i="7"/>
  <c r="E35" i="7"/>
  <c r="G34" i="7"/>
  <c r="E34" i="7"/>
  <c r="D34" i="7"/>
  <c r="G33" i="7"/>
  <c r="E33" i="7"/>
  <c r="E32" i="7"/>
  <c r="D32" i="7"/>
  <c r="D35" i="7" s="1"/>
  <c r="A32" i="7"/>
  <c r="G28" i="7"/>
  <c r="G27" i="7"/>
  <c r="G26" i="7"/>
  <c r="E18" i="7"/>
  <c r="G17" i="7"/>
  <c r="E17" i="7"/>
  <c r="G16" i="7"/>
  <c r="E16" i="7"/>
  <c r="F15" i="7"/>
  <c r="F14" i="7"/>
  <c r="G13" i="7"/>
  <c r="E13" i="7"/>
  <c r="E12" i="7"/>
  <c r="F11" i="7"/>
  <c r="D5" i="7"/>
  <c r="D5" i="6"/>
  <c r="AQ116" i="5"/>
  <c r="AP116" i="5"/>
  <c r="S48" i="54" s="1"/>
  <c r="K52" i="54" s="1"/>
  <c r="S52" i="54" s="1"/>
  <c r="AO116" i="5"/>
  <c r="S47" i="54" s="1"/>
  <c r="AN116" i="5"/>
  <c r="S46" i="54" s="1"/>
  <c r="AM116" i="5"/>
  <c r="AL116" i="5"/>
  <c r="AD48" i="54" s="1"/>
  <c r="AK116" i="5"/>
  <c r="AD47" i="54" s="1"/>
  <c r="AJ116" i="5"/>
  <c r="AD46" i="54" s="1"/>
  <c r="AI116" i="5"/>
  <c r="AH116" i="5"/>
  <c r="AQ111" i="5"/>
  <c r="AP111" i="5"/>
  <c r="S43" i="53" s="1"/>
  <c r="I44" i="53" s="1"/>
  <c r="AO111" i="5"/>
  <c r="S42" i="53" s="1"/>
  <c r="AN111" i="5"/>
  <c r="S41" i="53" s="1"/>
  <c r="AM111" i="5"/>
  <c r="AL111" i="5"/>
  <c r="AC43" i="53" s="1"/>
  <c r="AK111" i="5"/>
  <c r="AC42" i="53" s="1"/>
  <c r="AJ111" i="5"/>
  <c r="AC41" i="53" s="1"/>
  <c r="AI111" i="5"/>
  <c r="AH111" i="5"/>
  <c r="AQ106" i="5"/>
  <c r="AP106" i="5"/>
  <c r="S43" i="52" s="1"/>
  <c r="I44" i="52" s="1"/>
  <c r="AO106" i="5"/>
  <c r="S42" i="52" s="1"/>
  <c r="AN106" i="5"/>
  <c r="S41" i="52" s="1"/>
  <c r="AM106" i="5"/>
  <c r="AL106" i="5"/>
  <c r="AC43" i="52" s="1"/>
  <c r="AK106" i="5"/>
  <c r="AC42" i="52" s="1"/>
  <c r="AJ106" i="5"/>
  <c r="AC41" i="52" s="1"/>
  <c r="AI106" i="5"/>
  <c r="AH106" i="5"/>
  <c r="AQ100" i="5"/>
  <c r="AP100" i="5"/>
  <c r="S48" i="51" s="1"/>
  <c r="K52" i="51" s="1"/>
  <c r="S52" i="51" s="1"/>
  <c r="AO100" i="5"/>
  <c r="S47" i="51" s="1"/>
  <c r="AN100" i="5"/>
  <c r="S46" i="51" s="1"/>
  <c r="AM100" i="5"/>
  <c r="AL100" i="5"/>
  <c r="AD48" i="51" s="1"/>
  <c r="AK100" i="5"/>
  <c r="AD47" i="51" s="1"/>
  <c r="AJ100" i="5"/>
  <c r="AD46" i="51" s="1"/>
  <c r="AI100" i="5"/>
  <c r="AH100" i="5"/>
  <c r="AQ95" i="5"/>
  <c r="AP95" i="5"/>
  <c r="AO95" i="5"/>
  <c r="AN95" i="5"/>
  <c r="AM95" i="5"/>
  <c r="AL95" i="5"/>
  <c r="AK95" i="5"/>
  <c r="AJ95" i="5"/>
  <c r="AI95" i="5"/>
  <c r="AH95" i="5"/>
  <c r="AQ90" i="5"/>
  <c r="AP90" i="5"/>
  <c r="AO90" i="5"/>
  <c r="AN90" i="5"/>
  <c r="AM90" i="5"/>
  <c r="AL90" i="5"/>
  <c r="AK90" i="5"/>
  <c r="AJ90" i="5"/>
  <c r="AI90" i="5"/>
  <c r="AH90" i="5"/>
  <c r="AQ84" i="5"/>
  <c r="AP84" i="5"/>
  <c r="S48" i="39" s="1"/>
  <c r="K52" i="39" s="1"/>
  <c r="S52" i="39" s="1"/>
  <c r="AO84" i="5"/>
  <c r="S47" i="39" s="1"/>
  <c r="AN84" i="5"/>
  <c r="S46" i="39" s="1"/>
  <c r="AM84" i="5"/>
  <c r="AL84" i="5"/>
  <c r="AD48" i="39" s="1"/>
  <c r="AK84" i="5"/>
  <c r="AD47" i="39" s="1"/>
  <c r="AJ84" i="5"/>
  <c r="AD46" i="39" s="1"/>
  <c r="AI84" i="5"/>
  <c r="AH84" i="5"/>
  <c r="AQ79" i="5"/>
  <c r="AP79" i="5"/>
  <c r="S43" i="38" s="1"/>
  <c r="I44" i="38" s="1"/>
  <c r="AO79" i="5"/>
  <c r="S42" i="38" s="1"/>
  <c r="AN79" i="5"/>
  <c r="S41" i="38" s="1"/>
  <c r="AM79" i="5"/>
  <c r="AL79" i="5"/>
  <c r="AC43" i="38" s="1"/>
  <c r="AK79" i="5"/>
  <c r="AC42" i="38" s="1"/>
  <c r="AJ79" i="5"/>
  <c r="AC41" i="38" s="1"/>
  <c r="AI79" i="5"/>
  <c r="AH79" i="5"/>
  <c r="AQ74" i="5"/>
  <c r="AP74" i="5"/>
  <c r="S43" i="37" s="1"/>
  <c r="I44" i="37" s="1"/>
  <c r="J45" i="37" s="1"/>
  <c r="AO74" i="5"/>
  <c r="S42" i="37" s="1"/>
  <c r="AN74" i="5"/>
  <c r="S41" i="37" s="1"/>
  <c r="AM74" i="5"/>
  <c r="AL74" i="5"/>
  <c r="AC43" i="37" s="1"/>
  <c r="AK74" i="5"/>
  <c r="AC42" i="37" s="1"/>
  <c r="AJ74" i="5"/>
  <c r="AC41" i="37" s="1"/>
  <c r="AI74" i="5"/>
  <c r="AH74" i="5"/>
  <c r="AQ69" i="5"/>
  <c r="AP69" i="5"/>
  <c r="S43" i="36" s="1"/>
  <c r="I44" i="36" s="1"/>
  <c r="AO69" i="5"/>
  <c r="S42" i="36" s="1"/>
  <c r="AN69" i="5"/>
  <c r="S41" i="36" s="1"/>
  <c r="AM69" i="5"/>
  <c r="AL69" i="5"/>
  <c r="AC43" i="36" s="1"/>
  <c r="AK69" i="5"/>
  <c r="AC42" i="36" s="1"/>
  <c r="AJ69" i="5"/>
  <c r="AC41" i="36" s="1"/>
  <c r="AI69" i="5"/>
  <c r="AH69" i="5"/>
  <c r="AQ64" i="5"/>
  <c r="AP64" i="5"/>
  <c r="S43" i="35" s="1"/>
  <c r="I44" i="35" s="1"/>
  <c r="AO64" i="5"/>
  <c r="S42" i="35" s="1"/>
  <c r="AN64" i="5"/>
  <c r="S41" i="35" s="1"/>
  <c r="AM64" i="5"/>
  <c r="AL64" i="5"/>
  <c r="AC43" i="35" s="1"/>
  <c r="AK64" i="5"/>
  <c r="AC42" i="35" s="1"/>
  <c r="AJ64" i="5"/>
  <c r="AC41" i="35" s="1"/>
  <c r="AI64" i="5"/>
  <c r="AH64" i="5"/>
  <c r="AQ48" i="5"/>
  <c r="S48" i="23" s="1"/>
  <c r="AP48" i="5"/>
  <c r="S47" i="23" s="1"/>
  <c r="AO48" i="5"/>
  <c r="S46" i="23" s="1"/>
  <c r="AN48" i="5"/>
  <c r="S45" i="23" s="1"/>
  <c r="AM48" i="5"/>
  <c r="AB48" i="23" s="1"/>
  <c r="AL48" i="5"/>
  <c r="AB47" i="23" s="1"/>
  <c r="AK48" i="5"/>
  <c r="AB46" i="23" s="1"/>
  <c r="AJ48" i="5"/>
  <c r="AB45" i="23" s="1"/>
  <c r="AI48" i="5"/>
  <c r="AH48" i="5"/>
  <c r="AQ43" i="5"/>
  <c r="S46" i="18" s="1"/>
  <c r="I47" i="18" s="1"/>
  <c r="AP43" i="5"/>
  <c r="S45" i="18" s="1"/>
  <c r="AO43" i="5"/>
  <c r="AN43" i="5"/>
  <c r="S43" i="18" s="1"/>
  <c r="AM43" i="5"/>
  <c r="AD46" i="18" s="1"/>
  <c r="AL43" i="5"/>
  <c r="AK43" i="5"/>
  <c r="AD44" i="18" s="1"/>
  <c r="AJ43" i="5"/>
  <c r="AD43" i="18" s="1"/>
  <c r="AI43" i="5"/>
  <c r="AH43" i="5"/>
  <c r="AQ41" i="5"/>
  <c r="AP41" i="5"/>
  <c r="AO41" i="5"/>
  <c r="AN41" i="5"/>
  <c r="AM41" i="5"/>
  <c r="AL41" i="5"/>
  <c r="AK41" i="5"/>
  <c r="AJ41" i="5"/>
  <c r="AI41" i="5"/>
  <c r="AH41" i="5"/>
  <c r="AQ38" i="5"/>
  <c r="S46" i="21" s="1"/>
  <c r="AP38" i="5"/>
  <c r="S45" i="21" s="1"/>
  <c r="AO38" i="5"/>
  <c r="S44" i="21" s="1"/>
  <c r="AN38" i="5"/>
  <c r="S43" i="21" s="1"/>
  <c r="AM38" i="5"/>
  <c r="AD46" i="21" s="1"/>
  <c r="AL38" i="5"/>
  <c r="AD45" i="21" s="1"/>
  <c r="AK38" i="5"/>
  <c r="AD44" i="21" s="1"/>
  <c r="AJ38" i="5"/>
  <c r="AD43" i="21" s="1"/>
  <c r="AI38" i="5"/>
  <c r="AH38" i="5"/>
  <c r="AQ33" i="5"/>
  <c r="S46" i="20" s="1"/>
  <c r="I47" i="20" s="1"/>
  <c r="AP33" i="5"/>
  <c r="S45" i="20" s="1"/>
  <c r="AO33" i="5"/>
  <c r="S44" i="20" s="1"/>
  <c r="AN33" i="5"/>
  <c r="S43" i="20" s="1"/>
  <c r="AM33" i="5"/>
  <c r="AD46" i="20" s="1"/>
  <c r="AL33" i="5"/>
  <c r="AD45" i="20" s="1"/>
  <c r="AK33" i="5"/>
  <c r="AD44" i="20" s="1"/>
  <c r="AJ33" i="5"/>
  <c r="AD43" i="20" s="1"/>
  <c r="AI33" i="5"/>
  <c r="AH33" i="5"/>
  <c r="AQ28" i="5"/>
  <c r="U52" i="22" s="1"/>
  <c r="I53" i="22" s="1"/>
  <c r="J54" i="22" s="1"/>
  <c r="AP28" i="5"/>
  <c r="U51" i="22" s="1"/>
  <c r="AO28" i="5"/>
  <c r="U50" i="22" s="1"/>
  <c r="AN28" i="5"/>
  <c r="U49" i="22" s="1"/>
  <c r="AM28" i="5"/>
  <c r="AG52" i="22" s="1"/>
  <c r="AL28" i="5"/>
  <c r="AG51" i="22" s="1"/>
  <c r="AK28" i="5"/>
  <c r="AG50" i="22" s="1"/>
  <c r="AJ28" i="5"/>
  <c r="AG49" i="22" s="1"/>
  <c r="AI28" i="5"/>
  <c r="AH28" i="5"/>
  <c r="AQ23" i="5"/>
  <c r="S46" i="19" s="1"/>
  <c r="AP23" i="5"/>
  <c r="L21" i="24" s="1"/>
  <c r="AO23" i="5"/>
  <c r="L20" i="24" s="1"/>
  <c r="AN23" i="5"/>
  <c r="L19" i="24" s="1"/>
  <c r="AM23" i="5"/>
  <c r="O22" i="24" s="1"/>
  <c r="AL23" i="5"/>
  <c r="O21" i="24" s="1"/>
  <c r="AK23" i="5"/>
  <c r="O20" i="24" s="1"/>
  <c r="AJ23" i="5"/>
  <c r="AD43" i="19" s="1"/>
  <c r="AI23" i="5"/>
  <c r="AH23" i="5"/>
  <c r="AQ18" i="5"/>
  <c r="S46" i="17" s="1"/>
  <c r="I47" i="17" s="1"/>
  <c r="AP18" i="5"/>
  <c r="S45" i="17" s="1"/>
  <c r="AO18" i="5"/>
  <c r="S44" i="17" s="1"/>
  <c r="AN18" i="5"/>
  <c r="AM18" i="5"/>
  <c r="AD46" i="17" s="1"/>
  <c r="AL18" i="5"/>
  <c r="AD45" i="17" s="1"/>
  <c r="AK18" i="5"/>
  <c r="AJ18" i="5"/>
  <c r="AD43" i="17" s="1"/>
  <c r="AI18" i="5"/>
  <c r="AH18" i="5"/>
  <c r="AQ15" i="5"/>
  <c r="AP15" i="5"/>
  <c r="AO15" i="5"/>
  <c r="AN15" i="5"/>
  <c r="AM15" i="5"/>
  <c r="AL15" i="5"/>
  <c r="AK15" i="5"/>
  <c r="AJ15" i="5"/>
  <c r="AI15" i="5"/>
  <c r="AH15" i="5"/>
  <c r="AQ13" i="5"/>
  <c r="S46" i="16" s="1"/>
  <c r="I47" i="16" s="1"/>
  <c r="AP13" i="5"/>
  <c r="S45" i="16" s="1"/>
  <c r="AO13" i="5"/>
  <c r="S44" i="16" s="1"/>
  <c r="AN13" i="5"/>
  <c r="S43" i="16" s="1"/>
  <c r="AM13" i="5"/>
  <c r="AD46" i="16" s="1"/>
  <c r="AL13" i="5"/>
  <c r="AD45" i="16" s="1"/>
  <c r="AK13" i="5"/>
  <c r="AD44" i="16" s="1"/>
  <c r="AJ13" i="5"/>
  <c r="AD43" i="16" s="1"/>
  <c r="AI13" i="5"/>
  <c r="AH13" i="5"/>
  <c r="D6" i="5"/>
  <c r="D5" i="5"/>
  <c r="R13" i="4"/>
  <c r="Q13" i="4"/>
  <c r="H10" i="32" s="1"/>
  <c r="E13" i="4"/>
  <c r="P13" i="4" s="1"/>
  <c r="E7" i="4"/>
  <c r="D5" i="4"/>
  <c r="O13" i="3"/>
  <c r="M13" i="3" a="1"/>
  <c r="M13" i="3" s="1"/>
  <c r="J13" i="3"/>
  <c r="E13" i="3"/>
  <c r="G12" i="3"/>
  <c r="E12" i="3"/>
  <c r="E4" i="3"/>
  <c r="E57" i="2"/>
  <c r="E47" i="2"/>
  <c r="E39" i="2"/>
  <c r="F23" i="2"/>
  <c r="E20" i="2"/>
  <c r="E19" i="2"/>
  <c r="F18" i="2"/>
  <c r="E3" i="2"/>
  <c r="E2" i="2"/>
  <c r="S47" i="18" l="1"/>
  <c r="J48" i="18"/>
  <c r="B34" i="40"/>
  <c r="K33" i="40"/>
  <c r="K8" i="18"/>
  <c r="S8" i="18" s="1"/>
  <c r="S7" i="18"/>
  <c r="K8" i="20"/>
  <c r="S8" i="20" s="1"/>
  <c r="S7" i="20"/>
  <c r="J48" i="17"/>
  <c r="S47" i="17"/>
  <c r="S6" i="16"/>
  <c r="J7" i="16"/>
  <c r="S6" i="17"/>
  <c r="J7" i="17"/>
  <c r="J48" i="16"/>
  <c r="S47" i="16"/>
  <c r="U54" i="22"/>
  <c r="K55" i="22"/>
  <c r="E70" i="40"/>
  <c r="K70" i="40" s="1"/>
  <c r="K69" i="40"/>
  <c r="H14" i="41"/>
  <c r="I10" i="43"/>
  <c r="I10" i="42"/>
  <c r="I7" i="44"/>
  <c r="I25" i="40"/>
  <c r="I26" i="33"/>
  <c r="I9" i="31"/>
  <c r="H9" i="32"/>
  <c r="J48" i="19"/>
  <c r="I47" i="19"/>
  <c r="J45" i="35"/>
  <c r="S44" i="35"/>
  <c r="B5" i="1"/>
  <c r="D4" i="4"/>
  <c r="K49" i="20"/>
  <c r="S49" i="20" s="1"/>
  <c r="S48" i="20"/>
  <c r="S44" i="36"/>
  <c r="J45" i="36"/>
  <c r="J45" i="38"/>
  <c r="S44" i="38"/>
  <c r="AC43" i="50"/>
  <c r="AC43" i="49"/>
  <c r="S43" i="50"/>
  <c r="I44" i="50" s="1"/>
  <c r="S43" i="49"/>
  <c r="I44" i="49" s="1"/>
  <c r="J45" i="53"/>
  <c r="S44" i="53"/>
  <c r="D33" i="7"/>
  <c r="S6" i="18"/>
  <c r="S43" i="19"/>
  <c r="AD44" i="19"/>
  <c r="K8" i="23"/>
  <c r="S8" i="23" s="1"/>
  <c r="I6" i="23"/>
  <c r="J7" i="23"/>
  <c r="O19" i="24"/>
  <c r="L22" i="24"/>
  <c r="F23" i="24" s="1"/>
  <c r="L24" i="25"/>
  <c r="H25" i="25"/>
  <c r="L25" i="25" s="1"/>
  <c r="K7" i="37"/>
  <c r="S7" i="37" s="1"/>
  <c r="S6" i="37"/>
  <c r="I12" i="43"/>
  <c r="I12" i="42"/>
  <c r="I9" i="44"/>
  <c r="H16" i="41"/>
  <c r="I27" i="40"/>
  <c r="I28" i="33"/>
  <c r="I11" i="31"/>
  <c r="H11" i="32"/>
  <c r="J48" i="21"/>
  <c r="I47" i="21"/>
  <c r="S42" i="50"/>
  <c r="S42" i="49"/>
  <c r="S44" i="19"/>
  <c r="S7" i="21"/>
  <c r="K51" i="23"/>
  <c r="S51" i="23" s="1"/>
  <c r="I49" i="23"/>
  <c r="D36" i="7"/>
  <c r="D37" i="7" s="1"/>
  <c r="D38" i="7" s="1"/>
  <c r="F5" i="48"/>
  <c r="E35" i="28"/>
  <c r="E25" i="28"/>
  <c r="E32" i="28"/>
  <c r="E24" i="28"/>
  <c r="E42" i="28"/>
  <c r="E31" i="28"/>
  <c r="J50" i="23"/>
  <c r="L24" i="26"/>
  <c r="H25" i="26"/>
  <c r="L25" i="26" s="1"/>
  <c r="E28" i="28"/>
  <c r="K7" i="36"/>
  <c r="S7" i="36" s="1"/>
  <c r="S6" i="36"/>
  <c r="AC42" i="49"/>
  <c r="AC42" i="50"/>
  <c r="I8" i="44"/>
  <c r="I11" i="43"/>
  <c r="I11" i="42"/>
  <c r="H15" i="41"/>
  <c r="I26" i="40"/>
  <c r="I27" i="33"/>
  <c r="I10" i="31"/>
  <c r="S45" i="37"/>
  <c r="K46" i="37"/>
  <c r="S46" i="37" s="1"/>
  <c r="AC41" i="49"/>
  <c r="AC41" i="50"/>
  <c r="S41" i="50"/>
  <c r="S41" i="49"/>
  <c r="S44" i="52"/>
  <c r="J45" i="52"/>
  <c r="E16" i="15"/>
  <c r="S45" i="19"/>
  <c r="AD46" i="19"/>
  <c r="U7" i="22"/>
  <c r="K8" i="22"/>
  <c r="E38" i="28"/>
  <c r="J6" i="35"/>
  <c r="S5" i="35"/>
  <c r="J6" i="52"/>
  <c r="S5" i="52"/>
  <c r="I48" i="47"/>
  <c r="H48" i="47" s="1"/>
  <c r="H49" i="47"/>
  <c r="K7" i="38"/>
  <c r="S7" i="38" s="1"/>
  <c r="S6" i="38"/>
  <c r="S5" i="49"/>
  <c r="J6" i="49"/>
  <c r="K7" i="53"/>
  <c r="S7" i="53" s="1"/>
  <c r="S6" i="53"/>
  <c r="J6" i="50"/>
  <c r="J45" i="49" l="1"/>
  <c r="S44" i="49"/>
  <c r="K8" i="16"/>
  <c r="S8" i="16" s="1"/>
  <c r="S7" i="16"/>
  <c r="G24" i="24"/>
  <c r="L23" i="24"/>
  <c r="S44" i="50"/>
  <c r="J45" i="50"/>
  <c r="K46" i="38"/>
  <c r="S46" i="38" s="1"/>
  <c r="S45" i="38"/>
  <c r="S45" i="35"/>
  <c r="K46" i="35"/>
  <c r="S46" i="35" s="1"/>
  <c r="S48" i="16"/>
  <c r="K49" i="16"/>
  <c r="S49" i="16" s="1"/>
  <c r="D42" i="7"/>
  <c r="D43" i="7" s="1"/>
  <c r="D44" i="7" s="1"/>
  <c r="D40" i="7"/>
  <c r="D39" i="7"/>
  <c r="K49" i="21"/>
  <c r="S49" i="21" s="1"/>
  <c r="S48" i="21"/>
  <c r="K7" i="49"/>
  <c r="S7" i="49" s="1"/>
  <c r="S6" i="49"/>
  <c r="S6" i="50"/>
  <c r="K7" i="50"/>
  <c r="S7" i="50" s="1"/>
  <c r="S45" i="36"/>
  <c r="K46" i="36"/>
  <c r="S46" i="36" s="1"/>
  <c r="U55" i="22"/>
  <c r="L56" i="22"/>
  <c r="U56" i="22" s="1"/>
  <c r="S7" i="17"/>
  <c r="K8" i="17"/>
  <c r="S8" i="17" s="1"/>
  <c r="K49" i="18"/>
  <c r="S49" i="18" s="1"/>
  <c r="S48" i="18"/>
  <c r="I31" i="40"/>
  <c r="I136" i="40" s="1"/>
  <c r="H31" i="40"/>
  <c r="H136" i="40" s="1"/>
  <c r="S6" i="52"/>
  <c r="K7" i="52"/>
  <c r="S7" i="52" s="1"/>
  <c r="U8" i="22"/>
  <c r="L9" i="22"/>
  <c r="U9" i="22" s="1"/>
  <c r="S45" i="52"/>
  <c r="K46" i="52"/>
  <c r="S46" i="52" s="1"/>
  <c r="I58" i="47"/>
  <c r="H58" i="47" s="1"/>
  <c r="K7" i="35"/>
  <c r="S7" i="35" s="1"/>
  <c r="S6" i="35"/>
  <c r="S45" i="53"/>
  <c r="K46" i="53"/>
  <c r="S46" i="53" s="1"/>
  <c r="K49" i="19"/>
  <c r="S49" i="19" s="1"/>
  <c r="S48" i="19"/>
  <c r="K49" i="17"/>
  <c r="S49" i="17" s="1"/>
  <c r="S48" i="17"/>
  <c r="D50" i="7" l="1"/>
  <c r="D48" i="7"/>
  <c r="D45" i="7"/>
  <c r="D46" i="7"/>
  <c r="D47" i="7"/>
  <c r="K46" i="50"/>
  <c r="S46" i="50" s="1"/>
  <c r="S45" i="50"/>
  <c r="L24" i="24"/>
  <c r="H25" i="24"/>
  <c r="L25" i="24" s="1"/>
  <c r="K46" i="49"/>
  <c r="S46" i="49" s="1"/>
  <c r="S45" i="4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F29" authorId="0" shapeId="0" xr:uid="{00000000-0006-0000-0100-000001000000}">
      <text>
        <r>
          <rPr>
            <sz val="9"/>
            <color indexed="81"/>
            <rFont val="Tahoma"/>
            <family val="2"/>
          </rPr>
          <t>Выбор организации двойным щелчком левой клавиши мыши</t>
        </r>
      </text>
    </comment>
    <comment ref="E35" authorId="0" shapeId="0" xr:uid="{00000000-0006-0000-0100-000002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0B00-000001000000}">
      <text>
        <r>
          <rPr>
            <sz val="9"/>
            <color indexed="81"/>
            <rFont val="Arial"/>
            <family val="2"/>
          </rPr>
          <t>сюда же для некоторых формул может входить:
- VOTV
- HOTVSNA</t>
        </r>
      </text>
    </comment>
    <comment ref="U2" authorId="0" shapeId="0" xr:uid="{00000000-0006-0000-0B00-000002000000}">
      <text>
        <r>
          <rPr>
            <sz val="9"/>
            <color indexed="81"/>
            <rFont val="Arial"/>
            <family val="2"/>
          </rPr>
          <t>сюда же для некоторых формул может входить:
- VOTV
- HOTVSNA</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0C00-000001000000}">
      <text>
        <r>
          <rPr>
            <sz val="9"/>
            <color indexed="81"/>
            <rFont val="Tahoma"/>
            <family val="2"/>
          </rPr>
          <t>Тип организации</t>
        </r>
      </text>
    </comment>
  </commentList>
</comments>
</file>

<file path=xl/sharedStrings.xml><?xml version="1.0" encoding="utf-8"?>
<sst xmlns="http://schemas.openxmlformats.org/spreadsheetml/2006/main" count="28138" uniqueCount="5373">
  <si>
    <t xml:space="preserve"> (требуется обновление)</t>
  </si>
  <si>
    <t>Код отчёта: PP110.OPEN.INFO.QUARTER.HEAT.EIAS</t>
  </si>
  <si>
    <t>Версия отчёта: 1.0.0</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</si>
  <si>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</si>
  <si>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</si>
  <si>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</si>
  <si>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</si>
  <si>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</si>
  <si>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</si>
  <si>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</si>
  <si>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</si>
  <si>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</si>
  <si>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</si>
  <si>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</si>
  <si>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Нижегородская область</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</si>
  <si>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</si>
  <si>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</si>
  <si>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</si>
  <si>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</si>
  <si>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</si>
  <si>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</si>
  <si>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</si>
  <si>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</si>
  <si>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</si>
  <si>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</si>
  <si>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</si>
  <si>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</si>
  <si>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</si>
  <si>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</si>
  <si>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</si>
  <si>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</si>
  <si>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</si>
  <si>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</si>
  <si>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</si>
  <si>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</si>
  <si>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04.07.2023</t>
  </si>
  <si>
    <t>Отображается, если тип отчёта - изменение</t>
  </si>
  <si>
    <t>Дата периода регулирования, с которой вводятся изменения в тарифы</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</si>
  <si>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</si>
  <si>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</si>
  <si>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</si>
  <si>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</si>
  <si>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</si>
  <si>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Дата принятия решения об изменении тарифов</t>
  </si>
  <si>
    <t>Номер принятия решения об изменении тарифов</t>
  </si>
  <si>
    <t>Наименование ЮЛ / ИП</t>
  </si>
  <si>
    <t>ООО "ТЕПЛО ПЛЮС"</t>
  </si>
  <si>
    <t>Наименование (описание) обособленного подразделения</t>
  </si>
  <si>
    <t>ИНН</t>
  </si>
  <si>
    <t>5261113456</t>
  </si>
  <si>
    <t>КПП</t>
  </si>
  <si>
    <t>526101001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</si>
  <si>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</si>
  <si>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</si>
  <si>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</si>
  <si>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</si>
  <si>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</si>
  <si>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</si>
  <si>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</si>
  <si>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</si>
  <si>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</si>
  <si>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</si>
  <si>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</si>
  <si>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</si>
  <si>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</si>
  <si>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</si>
  <si>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</si>
  <si>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</si>
  <si>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</si>
  <si>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</si>
  <si>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</si>
  <si>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603105 г.Н.Новгород, ул.Ломоносова, д.9, пом.П2, оф.309</t>
  </si>
  <si>
    <t>Фамилия, имя, отчество руководителя</t>
  </si>
  <si>
    <t>Дембинский В.О.</t>
  </si>
  <si>
    <t>Ответственный за заполнение формы</t>
  </si>
  <si>
    <t>Фамилия, имя, отчество</t>
  </si>
  <si>
    <t>Чехонадских Е.В.</t>
  </si>
  <si>
    <t>Должность</t>
  </si>
  <si>
    <t>Ведущий инженер по договорной работе и тарифообразованию</t>
  </si>
  <si>
    <t>Контактный телефон</t>
  </si>
  <si>
    <t>(831) 4222582 (доб. 208)</t>
  </si>
  <si>
    <t>E-mail</t>
  </si>
  <si>
    <t>office@teploplus-nn.ru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</si>
  <si>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</si>
  <si>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</si>
  <si>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</si>
  <si>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</si>
  <si>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</si>
  <si>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</si>
  <si>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</si>
  <si>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</si>
  <si>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</si>
  <si>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</si>
  <si>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</si>
  <si>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</si>
  <si>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</si>
  <si>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</si>
  <si>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</si>
  <si>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</si>
  <si>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232</t>
  </si>
  <si>
    <t>Кстовский муниципальный округ</t>
  </si>
  <si>
    <t>22537000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</si>
  <si>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</si>
  <si>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</si>
  <si>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</si>
  <si>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</si>
  <si>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</si>
  <si>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</si>
  <si>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</si>
  <si>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</si>
  <si>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</si>
  <si>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</si>
  <si>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</si>
  <si>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</si>
  <si>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</si>
  <si>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</si>
  <si>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</si>
  <si>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</si>
  <si>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</si>
  <si>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</si>
  <si>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</si>
  <si>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</si>
  <si>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</si>
  <si>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</si>
  <si>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</si>
  <si>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</si>
  <si>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</si>
  <si>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</si>
  <si>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</si>
  <si>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</si>
  <si>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</si>
  <si>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</si>
  <si>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</si>
  <si>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</si>
  <si>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</si>
  <si>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</si>
  <si>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</si>
  <si>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</si>
  <si>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</si>
  <si>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</si>
  <si>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</si>
  <si>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</si>
  <si>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</si>
  <si>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</si>
  <si>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</si>
  <si>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</si>
  <si>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</si>
  <si>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</si>
  <si>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</si>
  <si>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</si>
  <si>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</si>
  <si>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</si>
  <si>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</si>
  <si>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</si>
  <si>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</si>
  <si>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</si>
  <si>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</si>
  <si>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</si>
  <si>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</si>
  <si>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</si>
  <si>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</si>
  <si>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pt_cs_60</t>
  </si>
  <si>
    <t>pt_ist_te_86</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</si>
  <si>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</si>
  <si>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</si>
  <si>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</si>
  <si>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</si>
  <si>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</si>
  <si>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</si>
  <si>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</si>
  <si>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</si>
  <si>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</si>
  <si>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</si>
  <si>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</si>
  <si>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</si>
  <si>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</si>
  <si>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</si>
  <si>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</si>
  <si>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</si>
  <si>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</si>
  <si>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</si>
  <si>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</si>
  <si>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</si>
  <si>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</si>
  <si>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</si>
  <si>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</si>
  <si>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</si>
  <si>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</si>
  <si>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</si>
  <si>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</si>
  <si>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</si>
  <si>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</si>
  <si>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</si>
  <si>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pt_ter_44</t>
  </si>
  <si>
    <t>pt_cs_50</t>
  </si>
  <si>
    <t>pt_ist_te_76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</si>
  <si>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</si>
  <si>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</si>
  <si>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</si>
  <si>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</si>
  <si>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</si>
  <si>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</si>
  <si>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</si>
  <si>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</si>
  <si>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</si>
  <si>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</si>
  <si>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</si>
  <si>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</si>
  <si>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</si>
  <si>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</si>
  <si>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</si>
  <si>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</si>
  <si>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</si>
  <si>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</si>
  <si>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</si>
  <si>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</si>
  <si>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</si>
  <si>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</si>
  <si>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</si>
  <si>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</si>
  <si>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</si>
  <si>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</si>
  <si>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</si>
  <si>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</si>
  <si>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</si>
  <si>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</si>
  <si>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</si>
  <si>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</si>
  <si>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</si>
  <si>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</si>
  <si>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</si>
  <si>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</si>
  <si>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</si>
  <si>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</si>
  <si>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</si>
  <si>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</si>
  <si>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</si>
  <si>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</si>
  <si>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</si>
  <si>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</si>
  <si>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</si>
  <si>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</si>
  <si>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</si>
  <si>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</si>
  <si>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</si>
  <si>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</si>
  <si>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</si>
  <si>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</si>
  <si>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</si>
  <si>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</si>
  <si>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</si>
  <si>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</si>
  <si>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</si>
  <si>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</si>
  <si>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</si>
  <si>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</si>
  <si>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</si>
  <si>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</si>
  <si>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</si>
  <si>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</si>
  <si>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</si>
  <si>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</si>
  <si>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</si>
  <si>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</si>
  <si>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</si>
  <si>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</si>
  <si>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</si>
  <si>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</si>
  <si>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</si>
  <si>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</si>
  <si>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</si>
  <si>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</si>
  <si>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</si>
  <si>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</si>
  <si>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</si>
  <si>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</si>
  <si>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</si>
  <si>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</si>
  <si>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</si>
  <si>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</si>
  <si>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</si>
  <si>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</si>
  <si>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</si>
  <si>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</si>
  <si>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</si>
  <si>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</si>
  <si>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</si>
  <si>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</si>
  <si>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</si>
  <si>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</si>
  <si>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</si>
  <si>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</si>
  <si>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</si>
  <si>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</si>
  <si>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</si>
  <si>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</si>
  <si>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</si>
  <si>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</si>
  <si>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</si>
  <si>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</si>
  <si>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</si>
  <si>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</si>
  <si>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</si>
  <si>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</si>
  <si>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</si>
  <si>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</si>
  <si>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</si>
  <si>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</si>
  <si>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</si>
  <si>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</si>
  <si>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</si>
  <si>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</si>
  <si>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</si>
  <si>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</si>
  <si>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</si>
  <si>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</si>
  <si>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</si>
  <si>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</si>
  <si>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</si>
  <si>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</si>
  <si>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</si>
  <si>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</si>
  <si>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</si>
  <si>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</si>
  <si>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</si>
  <si>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</si>
  <si>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</si>
  <si>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</si>
  <si>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</si>
  <si>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</si>
  <si>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</si>
  <si>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</si>
  <si>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</si>
  <si>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</si>
  <si>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</si>
  <si>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</si>
  <si>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</si>
  <si>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</si>
  <si>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</si>
  <si>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</si>
  <si>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</si>
  <si>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</si>
  <si>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</si>
  <si>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</si>
  <si>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</si>
  <si>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</si>
  <si>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</si>
  <si>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</si>
  <si>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</si>
  <si>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</si>
  <si>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</si>
  <si>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</si>
  <si>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</si>
  <si>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</si>
  <si>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</si>
  <si>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</si>
  <si>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</si>
  <si>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</si>
  <si>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</si>
  <si>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</si>
  <si>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</si>
  <si>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</si>
  <si>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</si>
  <si>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</si>
  <si>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</si>
  <si>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</si>
  <si>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</si>
  <si>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</si>
  <si>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</si>
  <si>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</si>
  <si>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</si>
  <si>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</si>
  <si>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</si>
  <si>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</si>
  <si>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</si>
  <si>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</si>
  <si>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</si>
  <si>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</si>
  <si>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</si>
  <si>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</si>
  <si>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</si>
  <si>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</si>
  <si>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</si>
  <si>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</si>
  <si>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</si>
  <si>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</si>
  <si>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</si>
  <si>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</si>
  <si>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</si>
  <si>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</si>
  <si>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Имя листа</t>
  </si>
  <si>
    <t>Наименование, номер формы</t>
  </si>
  <si>
    <t>HEAT</t>
  </si>
  <si>
    <t>COLDVSNA</t>
  </si>
  <si>
    <t>VOTV</t>
  </si>
  <si>
    <t>HOTVSNA</t>
  </si>
  <si>
    <t>TKO</t>
  </si>
  <si>
    <t>ТП</t>
  </si>
  <si>
    <t>16</t>
  </si>
  <si>
    <t>Форма 16.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</si>
  <si>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</si>
  <si>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 (общая информация)</t>
  </si>
  <si>
    <t>Форма 1. Информация об организации (общая информация)</t>
  </si>
  <si>
    <t>Договоры</t>
  </si>
  <si>
    <t>Форма 17.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содержит сведения об условиях публичных договоров регулируемых организаций, а также сведения о договорах, заключенных в соответствии с частями 2.1 и 2.2 статьи 8 Федерального закона "О теплоснабжении",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 теплоснабжении", и (или) условиях договоров о подключении (технологическом присоединении) к системе теплоснабжения включает сведения об условиях публичных договоров, заключаемых единой теплоснабжающей организацией в ценовых зонах теплоснабжения</t>
  </si>
  <si>
    <t>Форма 10. Информация об условиях, на которых осуществляется оказание регулируемых услуг в области обращения с твердыми коммунальными отходами, а также об условиях договоров на оказание услуг по транспортированию твердых коммунальных отходов</t>
  </si>
  <si>
    <t>Показатели ФХД</t>
  </si>
  <si>
    <t>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t>
  </si>
  <si>
    <t>Показатели ФХД &gt;20%</t>
  </si>
  <si>
    <t>Форма 11. Информация о расходах на капитальный и текущий ремонт основных средств</t>
  </si>
  <si>
    <t>Форма 6.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</si>
  <si>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</si>
  <si>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</si>
  <si>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7. Информация об основных потребительских характеристиках регулируемых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</si>
  <si>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</si>
  <si>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</si>
  <si>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PRICE_x000D_
_x000D_
Т-ТН_x000D_
Т-передача ТЭ_x000D_
Т-передача ТН</t>
  </si>
  <si>
    <t>Форма 5.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t>
  </si>
  <si>
    <t>PRICE_x000D_
_x000D_
Т-гор.вода</t>
  </si>
  <si>
    <t>Форма 6.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&lt;1&gt;</t>
  </si>
  <si>
    <t>PRICE_x000D_
_x000D_
Т-подкл</t>
  </si>
  <si>
    <t>Форма 7.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23.4 Федерального закона "О теплоснабжении" &lt;1&gt;</t>
  </si>
  <si>
    <t>REQUEST_x000D_
_x000D_
Т-ТЭ | &gt;=25МВт_x000D_
Т-ТЭ | ТСО_x000D_
Резерв мощности</t>
  </si>
  <si>
    <t>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</si>
  <si>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REQUEST_x000D_
_x000D_
Т-ТН_x000D_
Т-передача ТЭ_x000D_
Т-передача ТН</t>
  </si>
  <si>
    <t>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t>
  </si>
  <si>
    <t>REQUEST_x000D_
_x000D_
Т-гор.вода</t>
  </si>
  <si>
    <t>Форма 23. Информация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</si>
  <si>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</si>
  <si>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 xml:space="preserve">Форма 24. Информация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23.4 Федерального закона "О теплоснабжении" </t>
  </si>
  <si>
    <t>PRICE_x000D_
_x000D_
ХВС. Т-пит_x000D_
ХВС. Т-тех_x000D_
ХВС. Т-транс_x000D_
ХВС. Т-подвоз</t>
  </si>
  <si>
    <t>Форма 4. Информация о тарифах в сфере холодного водоснабжения на товары (услуги) организации холодного водоснабжения, подлежащих регулированию (об установленных тарифах на питьевую воду (питьевое водоснабжение); об установленных тарифах на техническую воду; об установленных тарифах на транспортировку воды; об установленных тарифах на подвоз воды))</t>
  </si>
  <si>
    <t>PRICE_x000D_
_x000D_
ХВС. Т-подкл</t>
  </si>
  <si>
    <t>Форма 5. Информация о величинах тарифов на подключение (технологическое присоединение) к централизованной системе холодного водоснабжения &lt;1&gt;</t>
  </si>
  <si>
    <t>REQUEST_x000D_
_x000D_
ХВС. Т-пит_x000D_
ХВС. Т-тех_x000D_
ХВС. Т-транс_x000D_
ХВС. Т-подвоз</t>
  </si>
  <si>
    <t>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t>
  </si>
  <si>
    <t>REQUEST_x000D_
_x000D_
ХВС. Т-подкл</t>
  </si>
  <si>
    <t>Форма 16.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 &lt;1&gt;</t>
  </si>
  <si>
    <t>PRICE_x000D_
_x000D_
ГВС. Т-гор.вода_x000D_
ГВС. Т-транс</t>
  </si>
  <si>
    <t>Форма 4. Информация о тарифах в сфере горячего водоснабжения на товары (услуги) организации горячего водоснабжения, подлежащих регулированию (об установленных тарифах на горячую воду (горячее водоснабжение); об установленных тарифах на транспортировку горячей воды) &lt;1&gt;</t>
  </si>
  <si>
    <t>PRICE_x000D_
_x000D_
ГВС. Т-подкл</t>
  </si>
  <si>
    <t>Форма 5. Информация об установленных тарифах на подключение (технологическое присоединение) к централизованной системе горячего водоснабжения &lt;1&gt;</t>
  </si>
  <si>
    <t>REQUEST_x000D_
_x000D_
ГВС. Т-гор.вода_x000D_
ГВС. Т-транс</t>
  </si>
  <si>
    <t>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t>
  </si>
  <si>
    <t>REQUEST_x000D_
_x000D_
ГВС. Т-подкл</t>
  </si>
  <si>
    <t>Форма 17. Информация о предложении расчетной величины тарифов на подключение (технологическое присоединение) к централизованной системе горячего водоснабжения &lt;1&gt;</t>
  </si>
  <si>
    <t>PRICE_x000D_
_x000D_
ВО. Т-во_x000D_
ВО. Т-транс</t>
  </si>
  <si>
    <t>Форма 3. Информация о тарифах в сфере водоотведения на товары (услуги) организации водоотведения, подлежащих регулированию (об установленных тарифах на водоотведение; об установленных тарифах на транспортировку сточных вод) &lt;1&gt;</t>
  </si>
  <si>
    <t>PRICE_x000D_
_x000D_
ВО. Т-подкл</t>
  </si>
  <si>
    <t>Форма 4.  Информация об установленных тарифах на подключение (технологическое присоединение) к централизованной системе водоотведения &lt;1&gt;</t>
  </si>
  <si>
    <t>REQUEST_x000D_
_x000D_
ВО. Т-во_x000D_
ВО. Т-транс</t>
  </si>
  <si>
    <t>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t>
  </si>
  <si>
    <t>REQUEST_x000D_
_x000D_
ВО. Т-подкл</t>
  </si>
  <si>
    <t>Форма 17. Информация о предложении расчетной величины тарифов на подключение к централизованной системе водоотведения &lt;1&gt;</t>
  </si>
  <si>
    <t>Сведения о закупках</t>
  </si>
  <si>
    <t>27</t>
  </si>
  <si>
    <t>Форма 19.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</si>
  <si>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11.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 содержит сведения о правовых актах, регламентирующих правила закупки (положение о закупке) в организации, о месте их размещения, а также сведения о планировании закупок и результатах их проведения</t>
  </si>
  <si>
    <t>Порядок ТП</t>
  </si>
  <si>
    <t>Форма 18.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 &lt;1&gt;</t>
  </si>
  <si>
    <t>19</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</si>
  <si>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</si>
  <si>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</si>
  <si>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</si>
  <si>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</si>
  <si>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</si>
  <si>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</si>
  <si>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</si>
  <si>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</si>
  <si>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</si>
  <si>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</si>
  <si>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</si>
  <si>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25</t>
  </si>
  <si>
    <t>24</t>
  </si>
  <si>
    <t>45</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</si>
  <si>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</si>
  <si>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</si>
  <si>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</si>
  <si>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</si>
  <si>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</si>
  <si>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</si>
  <si>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</si>
  <si>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</si>
  <si>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</si>
  <si>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</si>
  <si>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</si>
  <si>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</si>
  <si>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</si>
  <si>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</si>
  <si>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</si>
  <si>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</si>
  <si>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</si>
  <si>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</si>
  <si>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BALANCE</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</si>
  <si>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</si>
  <si>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</si>
  <si>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</si>
  <si>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</si>
  <si>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</si>
  <si>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</si>
  <si>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</si>
  <si>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</si>
  <si>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</si>
  <si>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</si>
  <si>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</si>
  <si>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2.1</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</si>
  <si>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</si>
  <si>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</si>
  <si>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</si>
  <si>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</si>
  <si>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</si>
  <si>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</si>
  <si>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</si>
  <si>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</si>
  <si>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2.4</t>
  </si>
  <si>
    <t>Расходы на холодную воду, получаемую с применением собственных источников водозабора (скважин) и используемую для горячего водоснабжения</t>
  </si>
  <si>
    <t>2.5</t>
  </si>
  <si>
    <t>Расходы на приобретаемую электрическую энергию (мощность), используемую в технологическом процессе</t>
  </si>
  <si>
    <t>6.1</t>
  </si>
  <si>
    <t>2.3.1</t>
  </si>
  <si>
    <t>2.2.1</t>
  </si>
  <si>
    <t>2.5.1</t>
  </si>
  <si>
    <t>Средневзвешенная стоимость 1 кВт.ч (с учетом мощности)</t>
  </si>
  <si>
    <t>6.2</t>
  </si>
  <si>
    <t>2.3.2</t>
  </si>
  <si>
    <t>2.2.2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</si>
  <si>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</si>
  <si>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</si>
  <si>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</si>
  <si>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</si>
  <si>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2.6</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</si>
  <si>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</si>
  <si>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</si>
  <si>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</si>
  <si>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</si>
  <si>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2.4.1</t>
  </si>
  <si>
    <t>Расходы на оплату труда основного производственного персонала</t>
  </si>
  <si>
    <t>9.2</t>
  </si>
  <si>
    <t>2.6.2</t>
  </si>
  <si>
    <t>2.4.2</t>
  </si>
  <si>
    <t>Страховые взносы на обязательное социальное страхование, выплачиваемые из фонда оплаты труда основного производственного персонала</t>
  </si>
  <si>
    <t>2.7</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</si>
  <si>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</si>
  <si>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</si>
  <si>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</si>
  <si>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</si>
  <si>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</si>
  <si>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</si>
  <si>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</si>
  <si>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</si>
  <si>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</si>
  <si>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</si>
  <si>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2.8</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</si>
  <si>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</si>
  <si>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</si>
  <si>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</si>
  <si>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</si>
  <si>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</si>
  <si>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</si>
  <si>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</si>
  <si>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2.9</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</si>
  <si>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</si>
  <si>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</si>
  <si>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</si>
  <si>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</si>
  <si>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</si>
  <si>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</si>
  <si>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</si>
  <si>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</si>
  <si>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</si>
  <si>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</si>
  <si>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</si>
  <si>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</si>
  <si>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</si>
  <si>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</si>
  <si>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</si>
  <si>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</si>
  <si>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</si>
  <si>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</si>
  <si>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</si>
  <si>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</si>
  <si>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</si>
  <si>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</si>
  <si>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</si>
  <si>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</si>
  <si>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</si>
  <si>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</si>
  <si>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</si>
  <si>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</si>
  <si>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</si>
  <si>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</si>
  <si>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</si>
  <si>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</si>
  <si>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</si>
  <si>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</si>
  <si>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</si>
  <si>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</si>
  <si>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</si>
  <si>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</si>
  <si>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</si>
  <si>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</si>
  <si>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</si>
  <si>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</si>
  <si>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</si>
  <si>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</si>
  <si>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</si>
  <si>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</si>
  <si>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</si>
  <si>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</si>
  <si>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</si>
  <si>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</si>
  <si>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</si>
  <si>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Указывается общая сумма чистой прибыли, полученной от регулируемого вида деятельности.</t>
  </si>
  <si>
    <t>4.1</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</si>
  <si>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</si>
  <si>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в том числе:</t>
  </si>
  <si>
    <t>Указывается общее изменение стоимости основных фондов.</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</si>
  <si>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</si>
  <si>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</si>
  <si>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</si>
  <si>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1.1</t>
  </si>
  <si>
    <t>5.1.1</t>
  </si>
  <si>
    <t>4.1.1</t>
  </si>
  <si>
    <t>Изменения стоимости основных фондов за счет их ввода в эксплуатацию</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</si>
  <si>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</si>
  <si>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</si>
  <si>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1.2</t>
  </si>
  <si>
    <t>5.1.2</t>
  </si>
  <si>
    <t>4.1.2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</si>
  <si>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</si>
  <si>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</si>
  <si>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</si>
  <si>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4.2</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</si>
  <si>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</si>
  <si>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</si>
  <si>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</si>
  <si>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</si>
  <si>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</si>
  <si>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Годовая бухгалтерская (финансовая) отчетность, включая бухгалтерский баланс и приложения к нему</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</si>
  <si>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</si>
  <si>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</si>
  <si>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</si>
  <si>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</si>
  <si>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</si>
  <si>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</si>
  <si>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</si>
  <si>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</si>
  <si>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</si>
  <si>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</si>
  <si>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</si>
  <si>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</si>
  <si>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</si>
  <si>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</si>
  <si>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</si>
  <si>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</si>
  <si>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</si>
  <si>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</si>
  <si>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</si>
  <si>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</si>
  <si>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</si>
  <si>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</si>
  <si>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</si>
  <si>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</si>
  <si>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</si>
  <si>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</si>
  <si>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</si>
  <si>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</si>
  <si>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</si>
  <si>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</si>
  <si>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</si>
  <si>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</si>
  <si>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</si>
  <si>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</si>
  <si>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</si>
  <si>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</si>
  <si>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</si>
  <si>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</si>
  <si>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</si>
  <si>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</si>
  <si>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</si>
  <si>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</si>
  <si>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</si>
  <si>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</si>
  <si>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</si>
  <si>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</si>
  <si>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</si>
  <si>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</si>
  <si>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</si>
  <si>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</si>
  <si>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</si>
  <si>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</si>
  <si>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</si>
  <si>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</si>
  <si>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</si>
  <si>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</si>
  <si>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</si>
  <si>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15</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</si>
  <si>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</si>
  <si>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</si>
  <si>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</si>
  <si>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</si>
  <si>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с</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</si>
  <si>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</si>
  <si>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</si>
  <si>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</si>
  <si>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17</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</si>
  <si>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</si>
  <si>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</si>
  <si>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</si>
  <si>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18</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</si>
  <si>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</si>
  <si>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</si>
  <si>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</si>
  <si>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Указывается ссылка на документ, предварительно загруженный в хранилище файлов ФГИС ЕИАС.</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</si>
  <si>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</si>
  <si>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</si>
  <si>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</si>
  <si>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</si>
  <si>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TERMS</t>
  </si>
  <si>
    <t>27/44</t>
  </si>
  <si>
    <t>26</t>
  </si>
  <si>
    <t>47</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</si>
  <si>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</si>
  <si>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</si>
  <si>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</si>
  <si>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INVEST</t>
  </si>
  <si>
    <t>REQUEST</t>
  </si>
  <si>
    <t>PRICE</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</si>
  <si>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</si>
  <si>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</si>
  <si>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</si>
  <si>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</si>
  <si>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</si>
  <si>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</si>
  <si>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</si>
  <si>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</si>
  <si>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</si>
  <si>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</si>
  <si>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</si>
  <si>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</si>
  <si>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</si>
  <si>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</si>
  <si>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</si>
  <si>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</si>
  <si>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</si>
  <si>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</si>
  <si>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</si>
  <si>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</si>
  <si>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</si>
  <si>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</si>
  <si>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</si>
  <si>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</si>
  <si>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</si>
  <si>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</si>
  <si>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</si>
  <si>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</si>
  <si>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</si>
  <si>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</si>
  <si>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</si>
  <si>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</si>
  <si>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</si>
  <si>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</si>
  <si>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</si>
  <si>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</si>
  <si>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</si>
  <si>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</si>
  <si>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</si>
  <si>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</si>
  <si>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</si>
  <si>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</si>
  <si>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</si>
  <si>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</si>
  <si>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</si>
  <si>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</si>
  <si>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</si>
  <si>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</si>
  <si>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</si>
  <si>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</si>
  <si>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</si>
  <si>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</si>
  <si>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</si>
  <si>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</si>
  <si>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</si>
  <si>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</si>
  <si>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</si>
  <si>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</si>
  <si>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</si>
  <si>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</si>
  <si>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</si>
  <si>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</si>
  <si>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</si>
  <si>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</si>
  <si>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</si>
  <si>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</si>
  <si>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</si>
  <si>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</si>
  <si>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</si>
  <si>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</si>
  <si>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</si>
  <si>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</si>
  <si>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Гкал/ч</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</si>
  <si>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</si>
  <si>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</si>
  <si>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</si>
  <si>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</si>
  <si>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</si>
  <si>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</si>
  <si>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</si>
  <si>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</si>
  <si>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</si>
  <si>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</si>
  <si>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</si>
  <si>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</si>
  <si>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</si>
  <si>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</si>
  <si>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</si>
  <si>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</si>
  <si>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</si>
  <si>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</si>
  <si>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</si>
  <si>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</si>
  <si>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</si>
  <si>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</si>
  <si>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</si>
  <si>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</si>
  <si>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</si>
  <si>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</si>
  <si>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</si>
  <si>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</si>
  <si>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</si>
  <si>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</si>
  <si>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</si>
  <si>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</si>
  <si>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</si>
  <si>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</si>
  <si>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</si>
  <si>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</si>
  <si>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</si>
  <si>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</si>
  <si>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</si>
  <si>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</si>
  <si>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</si>
  <si>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</si>
  <si>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</si>
  <si>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</si>
  <si>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</si>
  <si>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</si>
  <si>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</si>
  <si>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</si>
  <si>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</si>
  <si>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</si>
  <si>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</si>
  <si>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</si>
  <si>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</si>
  <si>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</si>
  <si>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</si>
  <si>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</si>
  <si>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</si>
  <si>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</si>
  <si>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</si>
  <si>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</si>
  <si>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</si>
  <si>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</si>
  <si>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</si>
  <si>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</si>
  <si>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</si>
  <si>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</si>
  <si>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</si>
  <si>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</si>
  <si>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</si>
  <si>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</si>
  <si>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</si>
  <si>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</si>
  <si>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</si>
  <si>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</si>
  <si>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</si>
  <si>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</si>
  <si>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</si>
  <si>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</si>
  <si>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</si>
  <si>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</si>
  <si>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</si>
  <si>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</si>
  <si>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</si>
  <si>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</si>
  <si>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</si>
  <si>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</si>
  <si>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</si>
  <si>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</si>
  <si>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</si>
  <si>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</si>
  <si>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</si>
  <si>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</si>
  <si>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</si>
  <si>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</si>
  <si>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</si>
  <si>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</si>
  <si>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</si>
  <si>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</si>
  <si>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</si>
  <si>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</si>
  <si>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</si>
  <si>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</si>
  <si>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</si>
  <si>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</si>
  <si>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</si>
  <si>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</si>
  <si>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</si>
  <si>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</si>
  <si>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</si>
  <si>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</si>
  <si>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</si>
  <si>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</si>
  <si>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</si>
  <si>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</si>
  <si>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</si>
  <si>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</si>
  <si>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</si>
  <si>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</si>
  <si>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</si>
  <si>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</si>
  <si>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</si>
  <si>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</si>
  <si>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</si>
  <si>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</si>
  <si>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</si>
  <si>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</si>
  <si>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</si>
  <si>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</si>
  <si>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</si>
  <si>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</si>
  <si>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</si>
  <si>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</si>
  <si>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</si>
  <si>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</si>
  <si>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</si>
  <si>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</si>
  <si>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</si>
  <si>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</si>
  <si>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</si>
  <si>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</si>
  <si>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</si>
  <si>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</si>
  <si>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</si>
  <si>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</si>
  <si>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</si>
  <si>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</si>
  <si>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</si>
  <si>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</si>
  <si>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</si>
  <si>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</si>
  <si>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</si>
  <si>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</si>
  <si>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</si>
  <si>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</si>
  <si>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</si>
  <si>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</si>
  <si>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</si>
  <si>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</si>
  <si>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</si>
  <si>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</si>
  <si>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</si>
  <si>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</si>
  <si>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</si>
  <si>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</si>
  <si>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</si>
  <si>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</si>
  <si>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</si>
  <si>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</si>
  <si>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</si>
  <si>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</si>
  <si>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</si>
  <si>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</si>
  <si>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</si>
  <si>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</si>
  <si>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</si>
  <si>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</si>
  <si>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</si>
  <si>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</si>
  <si>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</si>
  <si>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</si>
  <si>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</si>
  <si>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</si>
  <si>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</si>
  <si>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</si>
  <si>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</si>
  <si>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</si>
  <si>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</si>
  <si>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</si>
  <si>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</si>
  <si>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</si>
  <si>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</si>
  <si>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</si>
  <si>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</si>
  <si>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</si>
  <si>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</si>
  <si>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</si>
  <si>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</si>
  <si>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</si>
  <si>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</si>
  <si>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</si>
  <si>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</si>
  <si>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</si>
  <si>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</si>
  <si>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</si>
  <si>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</si>
  <si>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</si>
  <si>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</si>
  <si>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</si>
  <si>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</si>
  <si>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</si>
  <si>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</si>
  <si>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</si>
  <si>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</si>
  <si>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</si>
  <si>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</si>
  <si>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тыс. Гкал</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</si>
  <si>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</si>
  <si>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</si>
  <si>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</si>
  <si>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</si>
  <si>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Еврейская автономная область</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</si>
  <si>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</si>
  <si>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</si>
  <si>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</si>
  <si>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</si>
  <si>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</si>
  <si>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</si>
  <si>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</si>
  <si>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Забайкальский край</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</si>
  <si>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</si>
  <si>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</si>
  <si>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</si>
  <si>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</si>
  <si>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</si>
  <si>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</si>
  <si>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</si>
  <si>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</si>
  <si>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</si>
  <si>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Ивановская область</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</si>
  <si>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</si>
  <si>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</si>
  <si>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</si>
  <si>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</si>
  <si>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</si>
  <si>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</si>
  <si>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</si>
  <si>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</si>
  <si>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</si>
  <si>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</si>
  <si>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</si>
  <si>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</si>
  <si>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Иркутская область</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</si>
  <si>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</si>
  <si>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</si>
  <si>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</si>
  <si>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</si>
  <si>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</si>
  <si>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</si>
  <si>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в т.ч. подвоз воды</t>
  </si>
  <si>
    <t>Горячее водоснабжение</t>
  </si>
  <si>
    <t>Водоотведение, в том числе очистка сточных вод, обращение с осадком сточных вод</t>
  </si>
  <si>
    <t>Захоронение твердых коммунальных отходов</t>
  </si>
  <si>
    <t>Кабардино-Балкарская республика</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</si>
  <si>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</si>
  <si>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</si>
  <si>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</si>
  <si>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</si>
  <si>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Подключение (технологическое присоединение) к централизованной системе водоснабжения</t>
  </si>
  <si>
    <t>Транспортировка</t>
  </si>
  <si>
    <t>Прием и транспортировка сточных вод</t>
  </si>
  <si>
    <t>Обезвреживание твердых коммунальных отходов</t>
  </si>
  <si>
    <t>Калининградская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</si>
  <si>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</si>
  <si>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</si>
  <si>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</si>
  <si>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</si>
  <si>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</si>
  <si>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в т.ч. транспортировка воды, включая распределение воды</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</si>
  <si>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</si>
  <si>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</si>
  <si>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</si>
  <si>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Калужская область</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</si>
  <si>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</si>
  <si>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</si>
  <si>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</si>
  <si>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</si>
  <si>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Камчатский край</t>
  </si>
  <si>
    <t>21</t>
  </si>
  <si>
    <t>снижение аварийности</t>
  </si>
  <si>
    <t>кислородно-водородная смесь</t>
  </si>
  <si>
    <t>Передача. Тепловая энергия</t>
  </si>
  <si>
    <t>Энергетическая утилизация</t>
  </si>
  <si>
    <t>Карачаево-Черкесская республика</t>
  </si>
  <si>
    <t>22</t>
  </si>
  <si>
    <t>улучшение качества</t>
  </si>
  <si>
    <t>электроэнергия (НН)</t>
  </si>
  <si>
    <t>тыс кВт.ч</t>
  </si>
  <si>
    <t>Передача. Теплоноситель</t>
  </si>
  <si>
    <t>Кемеровская область</t>
  </si>
  <si>
    <t>23</t>
  </si>
  <si>
    <t>повышение надёжности и энергетической эффективности</t>
  </si>
  <si>
    <t>электроэнергия (СН1)</t>
  </si>
  <si>
    <t>Сбыт. Тепловая энергия</t>
  </si>
  <si>
    <t>Кировская область</t>
  </si>
  <si>
    <t>CROSSES</t>
  </si>
  <si>
    <t>электроэнергия (СН2)</t>
  </si>
  <si>
    <t>Сбыт. Теплоноситель</t>
  </si>
  <si>
    <t>Костромская область</t>
  </si>
  <si>
    <t>×</t>
  </si>
  <si>
    <t>электроэнергия (ВН)</t>
  </si>
  <si>
    <t>Подключение (технологическое присоединение) к системе теплоснабжения</t>
  </si>
  <si>
    <t>Краснодарский край</t>
  </si>
  <si>
    <t>Текущая дата</t>
  </si>
  <si>
    <t>PT_GROUP_CONSUMER_LIST</t>
  </si>
  <si>
    <t>мощность</t>
  </si>
  <si>
    <t>тыс кВт</t>
  </si>
  <si>
    <t>Поддержание резервной тепловой мощности при отсутствии потребления тепловой энергии</t>
  </si>
  <si>
    <t>Красноярский край</t>
  </si>
  <si>
    <t>Организация</t>
  </si>
  <si>
    <t>25.07.2023 22:51:32</t>
  </si>
  <si>
    <t>Курганская область</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</si>
  <si>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</si>
  <si>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</si>
  <si>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Курская область</t>
  </si>
  <si>
    <t>29</t>
  </si>
  <si>
    <t>население</t>
  </si>
  <si>
    <t xml:space="preserve">  Иные бюджетные средства</t>
  </si>
  <si>
    <t>Ленинградская область</t>
  </si>
  <si>
    <t>Виды деятельности</t>
  </si>
  <si>
    <t>https://appsrv.regportal-tariff.ru/procwsxls/</t>
  </si>
  <si>
    <t>30</t>
  </si>
  <si>
    <t>Липецкая область</t>
  </si>
  <si>
    <t>31</t>
  </si>
  <si>
    <t>Магаданская область</t>
  </si>
  <si>
    <t>32</t>
  </si>
  <si>
    <t>Московская область</t>
  </si>
  <si>
    <t>33</t>
  </si>
  <si>
    <t>PT_SCHEME_LIST</t>
  </si>
  <si>
    <t xml:space="preserve">  Доход от взимания платы за нарушение нормативов по объему и (или) составу сточных вод</t>
  </si>
  <si>
    <t>Мурманская область</t>
  </si>
  <si>
    <t>TEMPLATE_SPHERE</t>
  </si>
  <si>
    <t>34</t>
  </si>
  <si>
    <t xml:space="preserve">  Доход от взимания платы за негативное воздействие на работу централизованной системы водоотведения</t>
  </si>
  <si>
    <t>Ненецкий автономный округ</t>
  </si>
  <si>
    <t>теплоснабжения</t>
  </si>
  <si>
    <t>теплоснабжение</t>
  </si>
  <si>
    <t>35</t>
  </si>
  <si>
    <t>холодного водоснабжения</t>
  </si>
  <si>
    <t>холодное водоснабжение</t>
  </si>
  <si>
    <t>36</t>
  </si>
  <si>
    <t>HEAT_FIN_SRC_VLD_LIST</t>
  </si>
  <si>
    <t>VSNA_FIN_SRC_VLD_LIST</t>
  </si>
  <si>
    <t>VOTV_FIN_SRC_VLD_LIST</t>
  </si>
  <si>
    <t>OTKO_FIN_SRC_VLD_LIST</t>
  </si>
  <si>
    <t>Новгородская область</t>
  </si>
  <si>
    <t>водоотведения</t>
  </si>
  <si>
    <t>водоотведение</t>
  </si>
  <si>
    <t>37</t>
  </si>
  <si>
    <t>Прибыль направляемая на инвестиции</t>
  </si>
  <si>
    <t>Нормативная прибыль</t>
  </si>
  <si>
    <t>Новосибирская область</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</si>
  <si>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</si>
  <si>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</si>
  <si>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</si>
  <si>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</si>
  <si>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Капитальные вложения (инвестиции), финансируемые за счет нормативной прибыли, учитываемой в необходимой валовой выручке</t>
  </si>
  <si>
    <t>Амортизационные отчисления</t>
  </si>
  <si>
    <t>Омская область</t>
  </si>
  <si>
    <t>обращения с твердыми коммунальными отходами</t>
  </si>
  <si>
    <t>39</t>
  </si>
  <si>
    <t>PT_TN_LIST</t>
  </si>
  <si>
    <t>Прочие амортизационные отчисления</t>
  </si>
  <si>
    <t>Амортизационные отчисления за исключением переоценки основных средств и нематериальных активов</t>
  </si>
  <si>
    <t>Кредиты</t>
  </si>
  <si>
    <t>Оренбургская область</t>
  </si>
  <si>
    <t>40</t>
  </si>
  <si>
    <t>Прочие собственные средства</t>
  </si>
  <si>
    <t>Амортизационные отчисления в результате переоценки основных средств и нематериальных активов</t>
  </si>
  <si>
    <t>Займы, предоставленные Фондом ЖКХ за счет средств ФНБ</t>
  </si>
  <si>
    <t>Орловская область</t>
  </si>
  <si>
    <t>41</t>
  </si>
  <si>
    <t>За счет платы за технологическое присоединение</t>
  </si>
  <si>
    <t>Прочие займы</t>
  </si>
  <si>
    <t>Пензенская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</si>
  <si>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</si>
  <si>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</si>
  <si>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</si>
  <si>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</si>
  <si>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</si>
  <si>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</si>
  <si>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Пермский край</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</si>
  <si>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</si>
  <si>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</si>
  <si>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</si>
  <si>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</si>
  <si>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</si>
  <si>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</si>
  <si>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</si>
  <si>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Средства, полученные за счет платы за подключение (технологическое присоединение)</t>
  </si>
  <si>
    <t>Бюджет субъекта РФ</t>
  </si>
  <si>
    <t>Приморский край</t>
  </si>
  <si>
    <t>O</t>
  </si>
  <si>
    <t>44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</si>
  <si>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</si>
  <si>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Бюджет муниципального образования</t>
  </si>
  <si>
    <t>Псковская область</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</si>
  <si>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</si>
  <si>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Лизинг</t>
  </si>
  <si>
    <t>Республика Адыгея</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</si>
  <si>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</si>
  <si>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</si>
  <si>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</si>
  <si>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</si>
  <si>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Прочие</t>
  </si>
  <si>
    <t>Республика Алтай</t>
  </si>
  <si>
    <t>T</t>
  </si>
  <si>
    <t>Прочие привлеченные средства</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</si>
  <si>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</si>
  <si>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Республика Башкортостан</t>
  </si>
  <si>
    <t>I</t>
  </si>
  <si>
    <t>48</t>
  </si>
  <si>
    <t>Экономия средств, достигнутая регулируемой организацией в результате снижения расходов</t>
  </si>
  <si>
    <t>Республика Бурятия</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</si>
  <si>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</si>
  <si>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</si>
  <si>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</si>
  <si>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Дагестан</t>
  </si>
  <si>
    <t>P</t>
  </si>
  <si>
    <t>50</t>
  </si>
  <si>
    <t>Республика Ингушетия</t>
  </si>
  <si>
    <t>ROIV</t>
  </si>
  <si>
    <t>Показатели, подлежащие раскрытию органами регулирования</t>
  </si>
  <si>
    <t>51</t>
  </si>
  <si>
    <t>Республика Калмыкия</t>
  </si>
  <si>
    <t>52</t>
  </si>
  <si>
    <t>PT_NETS_LIST</t>
  </si>
  <si>
    <t>Республика Карелия</t>
  </si>
  <si>
    <t>53</t>
  </si>
  <si>
    <t>Республика Коми</t>
  </si>
  <si>
    <t>TERRITORY_ID</t>
  </si>
  <si>
    <t>начинать только с 2, остальное по умолчанию</t>
  </si>
  <si>
    <t>54</t>
  </si>
  <si>
    <t>Республика Крым</t>
  </si>
  <si>
    <t>DIFFERENTIATION_ID</t>
  </si>
  <si>
    <t>55</t>
  </si>
  <si>
    <t>Республика Марий Эл</t>
  </si>
  <si>
    <t>IP_ID</t>
  </si>
  <si>
    <t>56</t>
  </si>
  <si>
    <t>Республика Мордовия</t>
  </si>
  <si>
    <t>начинать только с 30, остальное по умолчанию</t>
  </si>
  <si>
    <t>57</t>
  </si>
  <si>
    <t>PT_DIAMETERS_LIST</t>
  </si>
  <si>
    <t>Республика Саха (Якутия)</t>
  </si>
  <si>
    <t>VDET_ID</t>
  </si>
  <si>
    <t>58</t>
  </si>
  <si>
    <t>Республика Северная Осетия-Алания</t>
  </si>
  <si>
    <t>NTAR_ID</t>
  </si>
  <si>
    <t>59</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</si>
  <si>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</si>
  <si>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Республика Татарстан</t>
  </si>
  <si>
    <t>Средства, полученные регулируемой организацией в виде платы за негативное воздействие на работу централизованной системы водоотведения</t>
  </si>
  <si>
    <t>Республика Тыва</t>
  </si>
  <si>
    <t>CS_ID</t>
  </si>
  <si>
    <t>Республика Хакасия</t>
  </si>
  <si>
    <t>IST_TE_ID</t>
  </si>
  <si>
    <t>Ростовская область</t>
  </si>
  <si>
    <t>Рязанская область</t>
  </si>
  <si>
    <t>PT_LOAD_LIST</t>
  </si>
  <si>
    <t>Самарская область</t>
  </si>
  <si>
    <t>Саратовская область</t>
  </si>
  <si>
    <t>HEAT_IP_EVENT_GROUP_LIST</t>
  </si>
  <si>
    <t>VSNA_IP_EVENT_GROUP_LIST</t>
  </si>
  <si>
    <t>VOTV_IP_EVENT_GROUP_LIST</t>
  </si>
  <si>
    <t>OTKO_IP_EVENT_GROUP_LIST</t>
  </si>
  <si>
    <t>Сахалинская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</si>
  <si>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</si>
  <si>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</si>
  <si>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</si>
  <si>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</si>
  <si>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Свердловская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</si>
  <si>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</si>
  <si>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</si>
  <si>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</si>
  <si>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</si>
  <si>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Смоленская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</si>
  <si>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</si>
  <si>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</si>
  <si>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</si>
  <si>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</si>
  <si>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Ставропольский край</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</si>
  <si>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</si>
  <si>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</si>
  <si>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Тамбовская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</si>
  <si>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</si>
  <si>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</si>
  <si>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</si>
  <si>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</si>
  <si>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Тверская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</si>
  <si>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</si>
  <si>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</si>
  <si>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</si>
  <si>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</si>
  <si>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Томская область</t>
  </si>
  <si>
    <t>PT_DIAMETERS_2_LIST</t>
  </si>
  <si>
    <t>Мероприятия по подготовке проектной документации</t>
  </si>
  <si>
    <t>Тульская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</si>
  <si>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</si>
  <si>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</si>
  <si>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</si>
  <si>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Тюменская область</t>
  </si>
  <si>
    <t>Удмуртская республика</t>
  </si>
  <si>
    <t>Ульяновская область</t>
  </si>
  <si>
    <t>HEAT_IP_EVENT_SUBGROUP_1_LIST</t>
  </si>
  <si>
    <t>VSNA_IP_EVENT_SUBGROUP_1_LIST</t>
  </si>
  <si>
    <t>VOTV_IP_EVENT_SUBGROUP_1_LIST</t>
  </si>
  <si>
    <t>Хабаровский край</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</si>
  <si>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</si>
  <si>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</si>
  <si>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</si>
  <si>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Ханты-Мансийский автономный округ</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</si>
  <si>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</si>
  <si>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</si>
  <si>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</si>
  <si>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Челябинская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</si>
  <si>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</si>
  <si>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</si>
  <si>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</si>
  <si>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Чеченская республика</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</si>
  <si>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</si>
  <si>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</si>
  <si>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</si>
  <si>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Чувашская республика</t>
  </si>
  <si>
    <t>TYPE_TKO_LIST</t>
  </si>
  <si>
    <t>Чукотский автономный округ</t>
  </si>
  <si>
    <t>несортированные</t>
  </si>
  <si>
    <t>Ямало-Ненецкий автономный округ</t>
  </si>
  <si>
    <t>сортированные</t>
  </si>
  <si>
    <t>HEAT_IP_EVENT_SUBGROUP_3_LIST</t>
  </si>
  <si>
    <t>VSNA_IP_EVENT_SUBGROUP_3_LIST</t>
  </si>
  <si>
    <t>VOTV_IP_EVENT_SUBGROUP_3_LIST</t>
  </si>
  <si>
    <t>Ярославская область</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</si>
  <si>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</si>
  <si>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</si>
  <si>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</si>
  <si>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</si>
  <si>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</si>
  <si>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</si>
  <si>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</si>
  <si>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CLASS_TKO_LIST</t>
  </si>
  <si>
    <t>II</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</si>
  <si>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</si>
  <si>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</si>
  <si>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</si>
  <si>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</si>
  <si>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</si>
  <si>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</si>
  <si>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</si>
  <si>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</si>
  <si>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</si>
  <si>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</si>
  <si>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</si>
  <si>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</si>
  <si>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HEAT_IP_EVENT_CI_STAGE_LIST</t>
  </si>
  <si>
    <t>VSNA_IP_EVENT_CI_STAGE_LIST</t>
  </si>
  <si>
    <t>VOTV_IP_EVENT_CI_STAGE_LIST</t>
  </si>
  <si>
    <t>OTKO_IP_EVENT_CI_STAGE_LIST</t>
  </si>
  <si>
    <t>производство тепловой энергии</t>
  </si>
  <si>
    <t>на забор и подъём воды</t>
  </si>
  <si>
    <t>на транспортировку сточных вод</t>
  </si>
  <si>
    <t>сбор</t>
  </si>
  <si>
    <t>передача теплоэнергии по региональным тепловым сетям</t>
  </si>
  <si>
    <t>на водоподготовку</t>
  </si>
  <si>
    <t>очистка сточных вод</t>
  </si>
  <si>
    <t>накопление</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</si>
  <si>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</si>
  <si>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</si>
  <si>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</si>
  <si>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</si>
  <si>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</si>
  <si>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утилизация</t>
  </si>
  <si>
    <t>обезвреживание</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</si>
  <si>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</si>
  <si>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</si>
  <si>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</si>
  <si>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</si>
  <si>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</si>
  <si>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</si>
  <si>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</si>
  <si>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</si>
  <si>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Водоотведение</t>
  </si>
  <si>
    <t>Обращение с твердыми коммунальными отходами</t>
  </si>
  <si>
    <t>Прочие объекты и мероприятия, относимые к регулируемому виду деятельности</t>
  </si>
  <si>
    <t>HEAT_PT_SCHEME</t>
  </si>
  <si>
    <t>et_CHANGE_INFO</t>
  </si>
  <si>
    <t>et_Comm</t>
  </si>
  <si>
    <t>et_TERRITORY_AREA, 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</si>
  <si>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</si>
  <si>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</si>
  <si>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</si>
  <si>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</si>
  <si>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</si>
  <si>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</si>
  <si>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</si>
  <si>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</si>
  <si>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</si>
  <si>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</si>
  <si>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</si>
  <si>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</si>
  <si>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</si>
  <si>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</si>
  <si>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</si>
  <si>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</si>
  <si>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</si>
  <si>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</si>
  <si>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</si>
  <si>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</si>
  <si>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</si>
  <si>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</si>
  <si>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</si>
  <si>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NOTSHOW</t>
  </si>
  <si>
    <t>Территория оказания услуг</t>
  </si>
  <si>
    <t>Централизованная система</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</si>
  <si>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</si>
  <si>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</si>
  <si>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</si>
  <si>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отсутствует</t>
  </si>
  <si>
    <t>Добавить поставщика</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</si>
  <si>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</si>
  <si>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</si>
  <si>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et_B_FHD20_1_HEAT</t>
  </si>
  <si>
    <t>et_B_FHD20_2, _3, _4</t>
  </si>
  <si>
    <t>Итого по поставщику, в том числе</t>
  </si>
  <si>
    <t>х</t>
  </si>
  <si>
    <t>Добавить товар/услугу</t>
  </si>
  <si>
    <t>Добавить способ</t>
  </si>
  <si>
    <t>et_DIFFERENTIATION_TARIFF(_etc)</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</si>
  <si>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</si>
  <si>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</si>
  <si>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</si>
  <si>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</si>
  <si>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et_DIFFERENTIATION_TARIFF_NOT_HEAT(_etc)</t>
  </si>
  <si>
    <t>et_DIFFERENTIATION_TKO(_etc)</t>
  </si>
  <si>
    <t>Добавить класс ТКО</t>
  </si>
  <si>
    <t>Добавить вид ТКО</t>
  </si>
  <si>
    <t>Добавить технологическую особенность</t>
  </si>
  <si>
    <t>1.1.1</t>
  </si>
  <si>
    <t>Добавить описание формы публичного договора</t>
  </si>
  <si>
    <t>1.2.1</t>
  </si>
  <si>
    <t>Добавить описание договора</t>
  </si>
  <si>
    <t>1.3</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</si>
  <si>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</si>
  <si>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</si>
  <si>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</si>
  <si>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2.0</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</si>
  <si>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</si>
  <si>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</si>
  <si>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</si>
  <si>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2.1.1</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</si>
  <si>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</si>
  <si>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</si>
  <si>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</si>
  <si>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</si>
  <si>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</si>
  <si>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</si>
  <si>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</si>
  <si>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</si>
  <si>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</si>
  <si>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</si>
  <si>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</si>
  <si>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</si>
  <si>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</si>
  <si>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</si>
  <si>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</si>
  <si>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</si>
  <si>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</si>
  <si>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</si>
  <si>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</si>
  <si>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</si>
  <si>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</si>
  <si>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</si>
  <si>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</si>
  <si>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</si>
  <si>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</si>
  <si>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</si>
  <si>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</si>
  <si>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</si>
  <si>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</si>
  <si>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</si>
  <si>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</si>
  <si>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</si>
  <si>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</si>
  <si>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</si>
  <si>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</si>
  <si>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</si>
  <si>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</si>
  <si>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</si>
  <si>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</si>
  <si>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</si>
  <si>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</si>
  <si>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</si>
  <si>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</si>
  <si>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</si>
  <si>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</si>
  <si>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</si>
  <si>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</si>
  <si>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</si>
  <si>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</si>
  <si>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</si>
  <si>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</si>
  <si>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&lt;1&gt;</t>
  </si>
  <si>
    <t>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</si>
  <si>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</si>
  <si>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 </t>
  </si>
  <si>
    <t>По этой форме раскрывается информация о расчетной величине тарифов в сфере теплоснабжения на товары (услуги) в случаях, указанных в частях 12.1 - 12.4 статьи 10 Федерального закона "О теплоснабжении"</t>
  </si>
  <si>
    <t>В случае представления регулируемой организацией по своей инициативе в исполнительный орган субъекта Российской Федерации в области государственного регулирования цен (тарифов) дополнительных документов и материалов к предложению об установлении цен (тарифов) в сфере теплоснабжения указанная в абзаце первом настоящего пункта информация в части, содержащейся в таких дополнительных документах и материалах, раскрывается регулируемой организацией в течение 7 дней со дня их представления</t>
  </si>
  <si>
    <t>Период действия</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</si>
  <si>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</si>
  <si>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</si>
  <si>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Для каждого вида тарифа в сфере теплоснабжения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</si>
  <si>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При размещении информации по данной форме дополнительно указываются: наименование органа регулирования тарифов, принявшего решение об утверждении установлении цены (тарифа) в сфере теплоснабжения, реквизиты (дата и номер) решения документа об установлении цены (тарифа), источник официального опубликования решения об установлении цены (тарифа) в сфере теплоснабжения.</t>
  </si>
  <si>
    <t>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 а также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</si>
  <si>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</si>
  <si>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По данной форме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</si>
  <si>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</si>
  <si>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</si>
  <si>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</si>
  <si>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</si>
  <si>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</si>
  <si>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</si>
  <si>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</si>
  <si>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</si>
  <si>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</si>
  <si>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</si>
  <si>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</si>
  <si>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</si>
  <si>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t>
  </si>
  <si>
    <t>По данной форме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</si>
  <si>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</si>
  <si>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</si>
  <si>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</si>
  <si>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</si>
  <si>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</si>
  <si>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</si>
  <si>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</si>
  <si>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</si>
  <si>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</si>
  <si>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Подключаемая тепловая нагрузка,_x000D_
куб.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</si>
  <si>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</si>
  <si>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</si>
  <si>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</si>
  <si>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с НДС</t>
  </si>
  <si>
    <t>без НДС</t>
  </si>
  <si>
    <t>При размещении информации по данной форме дополнительно указываются: наименование органа регулирования тарифов,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t>
  </si>
  <si>
    <t>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23.4 Федерального закона № 190-ФЗ.</t>
  </si>
  <si>
    <t>Период действия тарифа</t>
  </si>
  <si>
    <t>Добавить период</t>
  </si>
  <si>
    <t>Добавить источник тепловой энергии</t>
  </si>
  <si>
    <t>Добавить наименование системы теплоснабжения</t>
  </si>
  <si>
    <t>pt_vtar_3</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</si>
  <si>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</si>
  <si>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</si>
  <si>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</si>
  <si>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</si>
  <si>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</si>
  <si>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</si>
  <si>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</si>
  <si>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</si>
  <si>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</si>
  <si>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</si>
  <si>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vertAlign val="superscript"/>
        <sz val="10"/>
        <rFont val="Tahoma"/>
        <family val="2"/>
        <charset val="204"/>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</si>
  <si>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</si>
  <si>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</si>
  <si>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</si>
  <si>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</si>
  <si>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</si>
  <si>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</si>
  <si>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</si>
  <si>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</si>
  <si>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</si>
  <si>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</si>
  <si>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</si>
  <si>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</si>
  <si>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</si>
  <si>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</si>
  <si>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</si>
  <si>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</si>
  <si>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</si>
  <si>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</si>
  <si>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</si>
  <si>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</si>
  <si>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</si>
  <si>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</si>
  <si>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</si>
  <si>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</si>
  <si>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5.3.1</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</si>
  <si>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</si>
  <si>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</si>
  <si>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 Указываются сведения о закупках, сумма стоимости приобретения товаров и услуг по которым превышает 20% суммы от плановой НВВ на очередной период регулирования.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</si>
  <si>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</si>
  <si>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Единица измерения</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</si>
  <si>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</si>
  <si>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</si>
  <si>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</si>
  <si>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</si>
  <si>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</si>
  <si>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</si>
  <si>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</si>
  <si>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</si>
  <si>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</si>
  <si>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строках 4.1 – 4.3 указывается в случае, если организация имеет статус единой теплоснабжающей организации.</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</si>
  <si>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</si>
  <si>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</si>
  <si>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</si>
  <si>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</si>
  <si>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4.3</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</si>
  <si>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</si>
  <si>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руб.</t>
  </si>
  <si>
    <t>Доля числа исполненных в срок договоров о подключении</t>
  </si>
  <si>
    <t>%</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</si>
  <si>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</si>
  <si>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</si>
  <si>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</si>
  <si>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</si>
  <si>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ед</t>
  </si>
  <si>
    <t>5.0</t>
  </si>
  <si>
    <t>резерв мощности системы теплоснабжения</t>
  </si>
  <si>
    <t>Добавить систему</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</si>
  <si>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</si>
  <si>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</si>
  <si>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</si>
  <si>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</si>
  <si>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</si>
  <si>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</si>
  <si>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</si>
  <si>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</si>
  <si>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</si>
  <si>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</si>
  <si>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</si>
  <si>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</si>
  <si>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</si>
  <si>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</si>
  <si>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</si>
  <si>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Форма 13.1. Информация о выводе объектов теплоснабжения из эксплуатации и основаниях ограничения, прекращения подачи тепловой энергии потребителям</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</si>
  <si>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</si>
  <si>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</si>
  <si>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</si>
  <si>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</si>
  <si>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</si>
  <si>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</si>
  <si>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</si>
  <si>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</si>
  <si>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</si>
  <si>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</si>
  <si>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</si>
  <si>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</si>
  <si>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</si>
  <si>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Проведение аварийных работ</t>
  </si>
  <si>
    <t>https://regportal-tariff.ru/disclo/get_file?p_guid=db9a21e4-cf6f-473b-8c3d-17e0d35a7d7c</t>
  </si>
  <si>
    <t>Добавить прекращение подачи ТЭ</t>
  </si>
  <si>
    <r>
      <t>Форма 4.10.1 Информация о предложении регулируемой организацией об установлении тарифов в сфере теплоснабжения на очередной период регулирования</t>
    </r>
    <r>
      <rPr>
        <vertAlign val="superscript"/>
        <sz val="10"/>
        <rFont val="Tahoma"/>
        <family val="2"/>
        <charset val="204"/>
      </rPr>
      <t>1</t>
    </r>
  </si>
  <si>
    <t>Описание параметров -&gt;</t>
  </si>
  <si>
    <t>Период действия тарифов</t>
  </si>
  <si>
    <t>по</t>
  </si>
  <si>
    <t>Копия инвестиционной программы, утвержденной в установленном законодательством Российской Федерации порядке, а до ее утверждения копия проекта инвестиционной программы</t>
  </si>
  <si>
    <t>Заполняется в случае наличия инвестиционной программы (проекта инвестиционной программы) в отчетном периоде._x000D_
В колонке «Информация» указывается наименование инвестиционной программы._x000D_
В колонке «Ссылка на документ» указывается ссылка на документ, предварительно загруженный в хранилище файлов ФГИС ЕИАС.</t>
  </si>
  <si>
    <t>Предлагаемый метод регулирования</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</si>
  <si>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Значение в колонке «Информация» выбирается из перечня: Метод экономически обоснованных расходов (затрат); Метод индексации установленных тарифов; Метод обеспечения доходности инвестированного капитала; Метод сравнения аналогов._x000D_
Даты начала и окончания периода действия тарифов указывается в виде «ДД.ММ.ГГГГ»._x000D_
В случае дифференциации предлагаемых методов регулирования видам тарифов и (или) по периодам действия тарифов информация по каждому из них указывается в отдельной строке.</t>
  </si>
  <si>
    <t>Добавить ВТ</t>
  </si>
  <si>
    <t>Долгосрочные параметры регулирования (в случае если их установление предусмотрено выбранным методом регулирования)</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</si>
  <si>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</si>
  <si>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</si>
  <si>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необходимой валовой выручки указывается в колонке «Информация» в тыс. руб._x000D_
В случае дифференциации необходимой валовой выручки по видам тарифов и (или) по периодам действия тарифов информация указывается в отдельных строках.</t>
  </si>
  <si>
    <t>Годовой объем полезного отпуска тепловой энергии (теплоносителя)</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</si>
  <si>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годового объема полезного отпуска тепловой энергии (теплоносителя) указывается в колонке «Информация» в тыс. Гкал._x000D_
В случае дифференциации объема полезного отпуска тепловой энергии (теплоносителя) по видам тарифов и (или) по периодам действия тарифов информация указывается в отдельных строках.</t>
  </si>
  <si>
    <t xml:space="preserve">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 </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</si>
  <si>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недополученных доходов регулируемой организации указывается в колонке «Информация» в тыс. руб. _x000D_
В случае отсутствия недополученных доходов регулируемой организацией, исчисленных в соответствии с законодательством в сфере теплоснабжения, указывается значение 0._x000D_
В случае дифференциации недополученных доходов регулируемой организацией по видам тарифов и (или) по периодам действия тарифов информация указывается в отдельных строках.</t>
  </si>
  <si>
    <t>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t>
  </si>
  <si>
    <t>7.1</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</si>
  <si>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_x000D_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теплоснабжения, указывается значение 0._x000D_
В случае дифференциации экономически обоснованных расходов по видам тарифов и (или) по периодам действия тарифов информация указывается в отдельных строках.</t>
  </si>
  <si>
    <t>При размещении информации по данной форме дополнительно указывается дата подачи заявления об утверждении тарифа и его номер.</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</si>
  <si>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</si>
  <si>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</si>
  <si>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</si>
  <si>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</si>
  <si>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</si>
  <si>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</si>
  <si>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</si>
  <si>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</si>
  <si>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</si>
  <si>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</si>
  <si>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</si>
  <si>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</si>
  <si>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</si>
  <si>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</si>
  <si>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</si>
  <si>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Для каждого вида тарифа в сфере холодного водоснабжения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</si>
  <si>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холодного водоснабжения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</si>
  <si>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</si>
  <si>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</si>
  <si>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</si>
  <si>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</si>
  <si>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</si>
  <si>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</si>
  <si>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</si>
  <si>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</si>
  <si>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</si>
  <si>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</si>
  <si>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</si>
  <si>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</si>
  <si>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</si>
  <si>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</si>
  <si>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</si>
  <si>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</si>
  <si>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</si>
  <si>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</si>
  <si>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При размещении информации по данной форме дополнительно указываются сведения: наименование органа регулирования тарифов, принявшего решение об утверждении установлении тарифа, реквизиты (дата и номер) решения документа об утверждении установлении тарифа, источник официального опубликования решения об установлении тарифа.</t>
  </si>
  <si>
    <t>vt</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</si>
  <si>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</si>
  <si>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</si>
  <si>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</si>
  <si>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</si>
  <si>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</si>
  <si>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</si>
  <si>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</si>
  <si>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</si>
  <si>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</si>
  <si>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Указывается установленная тепловая мощность для источника тепловой энергии.</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</si>
  <si>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</si>
  <si>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</si>
  <si>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</si>
  <si>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</si>
  <si>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</si>
  <si>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p</t>
  </si>
  <si>
    <t>HEAT_P1</t>
  </si>
  <si>
    <t>Добавить вид топлива</t>
  </si>
  <si>
    <t>HOTVSNA_P1</t>
  </si>
  <si>
    <t>тыс. кВт·ч</t>
  </si>
  <si>
    <t>HEAT_P6</t>
  </si>
  <si>
    <t>NOT_HOTVSNA</t>
  </si>
  <si>
    <t>NOT_HEAT_P1</t>
  </si>
  <si>
    <t>Добавить прочие расходы</t>
  </si>
  <si>
    <t>HEAT_P2</t>
  </si>
  <si>
    <t>NOT_HEAT_P2</t>
  </si>
  <si>
    <t>COLDVSNA_P1</t>
  </si>
  <si>
    <t>тыс. куб. м</t>
  </si>
  <si>
    <t>HOTVSNA_P2</t>
  </si>
  <si>
    <t>VOTV_P1</t>
  </si>
  <si>
    <t>HEAT_P3</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</si>
  <si>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</si>
  <si>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</si>
  <si>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</si>
  <si>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</si>
  <si>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</si>
  <si>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</si>
  <si>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</si>
  <si>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</si>
  <si>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</si>
  <si>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</si>
  <si>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</si>
  <si>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</si>
  <si>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</si>
  <si>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</si>
  <si>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</si>
  <si>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</si>
  <si>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</si>
  <si>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</si>
  <si>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</si>
  <si>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</si>
  <si>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</si>
  <si>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</si>
  <si>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</si>
  <si>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6. Информация об основных показателях финансово-хозяйственной деятельности организации _x000D_
в части регулируемых видов деятельности за отчетный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</si>
  <si>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</si>
  <si>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</si>
  <si>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</si>
  <si>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</si>
  <si>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</si>
  <si>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производственные расходы, в том числе:</t>
  </si>
  <si>
    <t>Указывается общая сумма производственных расходов.</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</si>
  <si>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</si>
  <si>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</si>
  <si>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</si>
  <si>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</si>
  <si>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</si>
  <si>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</si>
  <si>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расходы на текущий ремонт</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</si>
  <si>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</si>
  <si>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</si>
  <si>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</si>
  <si>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расходы на оплату труда</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</si>
  <si>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</si>
  <si>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</si>
  <si>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</si>
  <si>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расходы на амортизацию основных средств</t>
  </si>
  <si>
    <t>расходы на амортизацию нематериальных активов</t>
  </si>
  <si>
    <t>расходы на арендную плату</t>
  </si>
  <si>
    <t>расходы на лизинговые платежи</t>
  </si>
  <si>
    <t xml:space="preserve"> расходы на концессионную плату</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</si>
  <si>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</si>
  <si>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</si>
  <si>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</si>
  <si>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</si>
  <si>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</si>
  <si>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</si>
  <si>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</si>
  <si>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</si>
  <si>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</si>
  <si>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изменение стоимости основных фондов за счет их ввода в эксплуатацию</t>
  </si>
  <si>
    <t>изменение стоимости основных фондов за счет их вывода в эксплуатацию</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</si>
  <si>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</si>
  <si>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</si>
  <si>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</si>
  <si>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</si>
  <si>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</si>
  <si>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</si>
  <si>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</si>
  <si>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</si>
  <si>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</si>
  <si>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</si>
  <si>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</si>
  <si>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</si>
  <si>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7. Информация об основных показателях финансово-хозяйственной деятельности организации в отношении деятельности по транспортированию твёрдых коммунальных отходов за отчетный год &lt;1&gt;</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</si>
  <si>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</si>
  <si>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</si>
  <si>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</si>
  <si>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</si>
  <si>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</si>
  <si>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</si>
  <si>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</si>
  <si>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</si>
  <si>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</si>
  <si>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</si>
  <si>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</si>
  <si>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</si>
  <si>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</si>
  <si>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</si>
  <si>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</si>
  <si>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</si>
  <si>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</si>
  <si>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</si>
  <si>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</si>
  <si>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</si>
  <si>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</si>
  <si>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</si>
  <si>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</si>
  <si>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</si>
  <si>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</si>
  <si>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</si>
  <si>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</si>
  <si>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</si>
  <si>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</si>
  <si>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</si>
  <si>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</si>
  <si>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</si>
  <si>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</si>
  <si>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</si>
  <si>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</si>
  <si>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</si>
  <si>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</si>
  <si>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</si>
  <si>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</si>
  <si>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</si>
  <si>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</si>
  <si>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</si>
  <si>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</si>
  <si>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</si>
  <si>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</si>
  <si>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</si>
  <si>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</si>
  <si>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</si>
  <si>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</si>
  <si>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</si>
  <si>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</si>
  <si>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</si>
  <si>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</si>
  <si>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</si>
  <si>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</si>
  <si>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</si>
  <si>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</si>
  <si>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</si>
  <si>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</si>
  <si>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</si>
  <si>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</si>
  <si>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</si>
  <si>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</si>
  <si>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</si>
  <si>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</si>
  <si>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</si>
  <si>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</si>
  <si>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</si>
  <si>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</si>
  <si>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</si>
  <si>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</si>
  <si>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</si>
  <si>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</si>
  <si>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</si>
  <si>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</si>
  <si>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</si>
  <si>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</si>
  <si>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</si>
  <si>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</si>
  <si>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</si>
  <si>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</si>
  <si>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</si>
  <si>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</si>
  <si>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</si>
  <si>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</si>
  <si>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</si>
  <si>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</si>
  <si>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</si>
  <si>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</si>
  <si>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</si>
  <si>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</si>
  <si>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</si>
  <si>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</si>
  <si>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</si>
  <si>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</si>
  <si>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</si>
  <si>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</si>
  <si>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</si>
  <si>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</si>
  <si>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</si>
  <si>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</si>
  <si>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</si>
  <si>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</si>
  <si>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</si>
  <si>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</si>
  <si>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</si>
  <si>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</si>
  <si>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</si>
  <si>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</si>
  <si>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</si>
  <si>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</si>
  <si>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</si>
  <si>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</si>
  <si>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</si>
  <si>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</si>
  <si>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</si>
  <si>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</si>
  <si>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</si>
  <si>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</si>
  <si>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</si>
  <si>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</si>
  <si>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</si>
  <si>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</si>
  <si>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</si>
  <si>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</si>
  <si>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</si>
  <si>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</si>
  <si>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</si>
  <si>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</si>
  <si>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</si>
  <si>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</si>
  <si>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</si>
  <si>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</si>
  <si>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</si>
  <si>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</si>
  <si>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</si>
  <si>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Информация об инвестиционных программах регулируемой организации и отчетах об их исполнении</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</si>
  <si>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</si>
  <si>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</si>
  <si>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</si>
  <si>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</si>
  <si>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</si>
  <si>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</si>
  <si>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</si>
  <si>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</si>
  <si>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</si>
  <si>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</si>
  <si>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</si>
  <si>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</si>
  <si>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</si>
  <si>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</si>
  <si>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</si>
  <si>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</si>
  <si>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</si>
  <si>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</si>
  <si>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</si>
  <si>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</si>
  <si>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</si>
  <si>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</si>
  <si>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</si>
  <si>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</si>
  <si>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</si>
  <si>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</si>
  <si>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</si>
  <si>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</si>
  <si>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</si>
  <si>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</si>
  <si>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</si>
  <si>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</si>
  <si>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</si>
  <si>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</si>
  <si>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</si>
  <si>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</si>
  <si>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</si>
  <si>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</si>
  <si>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</si>
  <si>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</si>
  <si>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</si>
  <si>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</si>
  <si>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</si>
  <si>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</si>
  <si>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</si>
  <si>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</si>
  <si>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</si>
  <si>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</si>
  <si>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</si>
  <si>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</si>
  <si>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</si>
  <si>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</si>
  <si>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Финансовый план</t>
  </si>
  <si>
    <t>Источники финансирования</t>
  </si>
  <si>
    <t>Объем фактического выполнения за счет источников финансирования (тыс. руб. без НДС)</t>
  </si>
  <si>
    <t>Всего</t>
  </si>
  <si>
    <t>Расходы на мероприятия инвестиционной программы</t>
  </si>
  <si>
    <t>Собственные средства</t>
  </si>
  <si>
    <t>1.4</t>
  </si>
  <si>
    <t>1.5</t>
  </si>
  <si>
    <t>1.6</t>
  </si>
  <si>
    <t>1.7</t>
  </si>
  <si>
    <t>1.8</t>
  </si>
  <si>
    <t>1.9</t>
  </si>
  <si>
    <t>1.10</t>
  </si>
  <si>
    <t>1.11</t>
  </si>
  <si>
    <t>1.12</t>
  </si>
  <si>
    <t>Привлеченные средства</t>
  </si>
  <si>
    <t>Займы</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</si>
  <si>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</si>
  <si>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</si>
  <si>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</si>
  <si>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</si>
  <si>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</si>
  <si>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</si>
  <si>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</si>
  <si>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Финансируемые за счет нормативной прибыли, учитываемой в необходимой валовой выручке</t>
  </si>
  <si>
    <t>1.1.2</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</si>
  <si>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</si>
  <si>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</si>
  <si>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</si>
  <si>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</si>
  <si>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</si>
  <si>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</si>
  <si>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</si>
  <si>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</si>
  <si>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</si>
  <si>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</si>
  <si>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</si>
  <si>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</si>
  <si>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</si>
  <si>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</si>
  <si>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</si>
  <si>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</si>
  <si>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</si>
  <si>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</si>
  <si>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</si>
  <si>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</si>
  <si>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</si>
  <si>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</si>
  <si>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</si>
  <si>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</si>
  <si>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</si>
  <si>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</si>
  <si>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</si>
  <si>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</si>
  <si>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</si>
  <si>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</si>
  <si>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</si>
  <si>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</si>
  <si>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</si>
  <si>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</si>
  <si>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</si>
  <si>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</si>
  <si>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</si>
  <si>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</si>
  <si>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</si>
  <si>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</si>
  <si>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</si>
  <si>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</si>
  <si>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</si>
  <si>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</si>
  <si>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</si>
  <si>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</si>
  <si>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</si>
  <si>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</si>
  <si>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</si>
  <si>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</si>
  <si>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</si>
  <si>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</si>
  <si>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</si>
  <si>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</si>
  <si>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</si>
  <si>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</si>
  <si>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</si>
  <si>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</si>
  <si>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</si>
  <si>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</si>
  <si>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Для каждого вида тарифа в сфере горячего водоснабжения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</si>
  <si>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горячего водоснабжения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</si>
  <si>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pt_ist_te_16</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</si>
  <si>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</si>
  <si>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</si>
  <si>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</si>
  <si>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</si>
  <si>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</si>
  <si>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Для каждого вида тарифа в сфере водоотведения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</si>
  <si>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водоотведения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</si>
  <si>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</si>
  <si>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</si>
  <si>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</si>
  <si>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</si>
  <si>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</si>
  <si>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</si>
  <si>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</si>
  <si>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</si>
  <si>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</si>
  <si>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</si>
  <si>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</si>
  <si>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</si>
  <si>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</si>
  <si>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</si>
  <si>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</si>
  <si>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</si>
  <si>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</si>
  <si>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</si>
  <si>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</si>
  <si>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</si>
  <si>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</si>
  <si>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</si>
  <si>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</si>
  <si>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</si>
  <si>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</si>
  <si>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</si>
  <si>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</si>
  <si>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</si>
  <si>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</si>
  <si>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</si>
  <si>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</si>
  <si>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</si>
  <si>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</si>
  <si>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</si>
  <si>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</si>
  <si>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</si>
  <si>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</si>
  <si>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</si>
  <si>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</si>
  <si>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</si>
  <si>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</si>
  <si>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</si>
  <si>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</si>
  <si>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</si>
  <si>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</si>
  <si>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</si>
  <si>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</si>
  <si>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</si>
  <si>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</si>
  <si>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</si>
  <si>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</si>
  <si>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</si>
  <si>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</si>
  <si>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</si>
  <si>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</si>
  <si>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</si>
  <si>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</si>
  <si>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 xml:space="preserve">Информация о докладе, содержащем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 </t>
  </si>
  <si>
    <t>Наименование регулируемой организации</t>
  </si>
  <si>
    <t>Комментарии</t>
  </si>
  <si>
    <t>Результат проверки</t>
  </si>
  <si>
    <t>Ссылка</t>
  </si>
  <si>
    <t>Причина</t>
  </si>
  <si>
    <t>Статус</t>
  </si>
  <si>
    <t>Цвет</t>
  </si>
  <si>
    <t>Раздел</t>
  </si>
  <si>
    <t>доп.листы</t>
  </si>
  <si>
    <t>готовность</t>
  </si>
  <si>
    <t>ИП</t>
  </si>
  <si>
    <t>REGION_ID</t>
  </si>
  <si>
    <t>REGION_NAME</t>
  </si>
  <si>
    <t>RST_ORG_ID</t>
  </si>
  <si>
    <t>ORG_NAME</t>
  </si>
  <si>
    <t>INN_NAME</t>
  </si>
  <si>
    <t>KPP_NAME</t>
  </si>
  <si>
    <t>ORG_START_DATE</t>
  </si>
  <si>
    <t>ORG_END_DATE</t>
  </si>
  <si>
    <t>VDET_START_DATE</t>
  </si>
  <si>
    <t>VDET_END_DATE</t>
  </si>
  <si>
    <t>VDET_NAME</t>
  </si>
  <si>
    <t>VDET_NAME_LIST</t>
  </si>
  <si>
    <t>VDET_FULL_NAME_LIST</t>
  </si>
  <si>
    <t>SPHERE</t>
  </si>
  <si>
    <t>2634</t>
  </si>
  <si>
    <t>26358403</t>
  </si>
  <si>
    <t>АО "78 ДОК Н.М."</t>
  </si>
  <si>
    <t>5257052472</t>
  </si>
  <si>
    <t>525701001</t>
  </si>
  <si>
    <t>15-09-2008 00:00:00</t>
  </si>
  <si>
    <t>Некомбинированная выработка :: Сбыт :: Передача</t>
  </si>
  <si>
    <t>/Тепловая энергия/Производство/Некомбинированная выработка :: /Тепловая энергия/Сбыт :: /Тепловая энергия/Передача</t>
  </si>
  <si>
    <t>26358280</t>
  </si>
  <si>
    <t>АО "АМЗ"</t>
  </si>
  <si>
    <t>5243001767</t>
  </si>
  <si>
    <t>525350001</t>
  </si>
  <si>
    <t>18-03-1993 00:00:00</t>
  </si>
  <si>
    <t>26358279</t>
  </si>
  <si>
    <t>АО "АПЗ"</t>
  </si>
  <si>
    <t>5243001742</t>
  </si>
  <si>
    <t>524301001</t>
  </si>
  <si>
    <t>26951227</t>
  </si>
  <si>
    <t>АО "БРИДЖТАУН ЧАЙКА"</t>
  </si>
  <si>
    <t>5260005345</t>
  </si>
  <si>
    <t>526001001</t>
  </si>
  <si>
    <t>08-02-2023 00:00:00</t>
  </si>
  <si>
    <t>01-01-2017 00:00:00</t>
  </si>
  <si>
    <t>26373616</t>
  </si>
  <si>
    <t>АО "ВМЗ"</t>
  </si>
  <si>
    <t>5247004695</t>
  </si>
  <si>
    <t>524701001</t>
  </si>
  <si>
    <t>Некомбинированная выработка</t>
  </si>
  <si>
    <t>/Тепловая энергия/Производство/Некомбинированная выработка</t>
  </si>
  <si>
    <t>Сбыт :: Передача</t>
  </si>
  <si>
    <t>/Тепловая энергия/Сбыт :: /Тепловая энергия/Передача</t>
  </si>
  <si>
    <t>26358464</t>
  </si>
  <si>
    <t>АО "ВОЛГА-ФЛОТ"</t>
  </si>
  <si>
    <t>5260902190</t>
  </si>
  <si>
    <t>31314742</t>
  </si>
  <si>
    <t>АО "ВЫКСАТЕПЛОЭНЕРГО"</t>
  </si>
  <si>
    <t>5247055114</t>
  </si>
  <si>
    <t>30-04-2019 00:00:00</t>
  </si>
  <si>
    <t>Некомбинированная выработка :: Сбыт</t>
  </si>
  <si>
    <t>/Тепловая энергия/Производство/Некомбинированная выработка :: /Тепловая энергия/Сбыт</t>
  </si>
  <si>
    <t>26373593</t>
  </si>
  <si>
    <t>АО "Волга"</t>
  </si>
  <si>
    <t>5244009279</t>
  </si>
  <si>
    <t>524401001</t>
  </si>
  <si>
    <t>31-01-2021 00:00:00</t>
  </si>
  <si>
    <t>Комбинированная выработка :: Некомбинированная выработка :: Сбыт :: Передача</t>
  </si>
  <si>
    <t>/Тепловая энергия/Производство/Комбинированная выработка :: /Тепловая энергия/Производство/Некомбинированная выработка :: /Тепловая энергия/Сбыт :: /Тепловая энергия/Передача</t>
  </si>
  <si>
    <t>Теплоноситель - Сбыт :: Производство :: Передача</t>
  </si>
  <si>
    <t>Сбыт :: Производство :: Передача</t>
  </si>
  <si>
    <t>/Теплоноситель/Сбыт :: /Теплоноситель/Производство :: /Теплоноситель/Передача</t>
  </si>
  <si>
    <t>26358364</t>
  </si>
  <si>
    <t>АО "Гидроагрегат"</t>
  </si>
  <si>
    <t>5252000470</t>
  </si>
  <si>
    <t>525201001</t>
  </si>
  <si>
    <t>26569426</t>
  </si>
  <si>
    <t>АО "ДПО "Пластик"</t>
  </si>
  <si>
    <t>5249015251</t>
  </si>
  <si>
    <t>524901001</t>
  </si>
  <si>
    <t>01-12-2017 00:00:00</t>
  </si>
  <si>
    <t>26358272</t>
  </si>
  <si>
    <t>АО "ДРСП"</t>
  </si>
  <si>
    <t>5239006515</t>
  </si>
  <si>
    <t>523901001</t>
  </si>
  <si>
    <t>31258691</t>
  </si>
  <si>
    <t>АО "ЖКХ "КАЛИКИНСКОЕ"</t>
  </si>
  <si>
    <t>5246038236</t>
  </si>
  <si>
    <t>524601001</t>
  </si>
  <si>
    <t>08-07-2010 00:00:00</t>
  </si>
  <si>
    <t>31063349</t>
  </si>
  <si>
    <t>АО "ЗАВОД "ЭЛЕКТРОМАШ"</t>
  </si>
  <si>
    <t>5263125030</t>
  </si>
  <si>
    <t>526301001</t>
  </si>
  <si>
    <t>01-07-2018 00:00:00</t>
  </si>
  <si>
    <t>26358397</t>
  </si>
  <si>
    <t>АО "ЗАВОД КРАСНЫЙ ЯКОРЬ"</t>
  </si>
  <si>
    <t>5257005049</t>
  </si>
  <si>
    <t>15-10-1993 00:00:00</t>
  </si>
  <si>
    <t>26358281</t>
  </si>
  <si>
    <t>АО "ЛЕГМАШ"</t>
  </si>
  <si>
    <t>5243001862</t>
  </si>
  <si>
    <t>27-10-1992 00:00:00</t>
  </si>
  <si>
    <t>Некомбинированная выработка :: Передача</t>
  </si>
  <si>
    <t>/Тепловая энергия/Производство/Некомбинированная выработка :: /Тепловая энергия/Передача</t>
  </si>
  <si>
    <t>26358393</t>
  </si>
  <si>
    <t>АО "МЕЛЬИНВЕСТ"</t>
  </si>
  <si>
    <t>5257003490</t>
  </si>
  <si>
    <t>26358385</t>
  </si>
  <si>
    <t>АО "Международный Аэропорт Нижний Новгород"</t>
  </si>
  <si>
    <t>5256045754</t>
  </si>
  <si>
    <t>525601001</t>
  </si>
  <si>
    <t>26358270</t>
  </si>
  <si>
    <t>АО "Молоко"</t>
  </si>
  <si>
    <t>5239001108</t>
  </si>
  <si>
    <t>26555642</t>
  </si>
  <si>
    <t>АО "НАС"</t>
  </si>
  <si>
    <t>5257001277</t>
  </si>
  <si>
    <t>12-08-2010 00:00:00</t>
  </si>
  <si>
    <t>30844713</t>
  </si>
  <si>
    <t>АО "НЗ 70-ЛЕТИЯ ПОБЕДЫ"</t>
  </si>
  <si>
    <t>5259113339</t>
  </si>
  <si>
    <t>525901001</t>
  </si>
  <si>
    <t>01-10-2016 00:00:00</t>
  </si>
  <si>
    <t>26358179</t>
  </si>
  <si>
    <t>АО "НЗСМ"</t>
  </si>
  <si>
    <t>5223000035</t>
  </si>
  <si>
    <t>522301001</t>
  </si>
  <si>
    <t>01-01-2007 00:00:00</t>
  </si>
  <si>
    <t>26358394</t>
  </si>
  <si>
    <t>АО "НМЖК"</t>
  </si>
  <si>
    <t>5257003806</t>
  </si>
  <si>
    <t>26358469</t>
  </si>
  <si>
    <t>АО "ННПО имени М.В. Фрунзе"</t>
  </si>
  <si>
    <t>5261077695</t>
  </si>
  <si>
    <t>15-08-2011 00:00:00</t>
  </si>
  <si>
    <t>31023931</t>
  </si>
  <si>
    <t>АО "НОКК" (Балахнинский филиал)</t>
  </si>
  <si>
    <t>5260267654</t>
  </si>
  <si>
    <t>524443001</t>
  </si>
  <si>
    <t>Комбинированная выработка :: Некомбинированная выработка :: Передача</t>
  </si>
  <si>
    <t>/Тепловая энергия/Производство/Комбинированная выработка :: /Тепловая энергия/Производство/Некомбинированная выработка :: /Тепловая энергия/Передача</t>
  </si>
  <si>
    <t>27566839</t>
  </si>
  <si>
    <t>АО "НОКК" (Богородский филиал)</t>
  </si>
  <si>
    <t>524543001</t>
  </si>
  <si>
    <t>01-07-2020 00:00:00</t>
  </si>
  <si>
    <t>01-01-2021 00:00:00</t>
  </si>
  <si>
    <t>31538730</t>
  </si>
  <si>
    <t>АО "НОКК" (Ветлужский филиал)</t>
  </si>
  <si>
    <t>523543002</t>
  </si>
  <si>
    <t>01-01-2023 00:00:00</t>
  </si>
  <si>
    <t>31538777</t>
  </si>
  <si>
    <t>АО "НОКК" (Володарский филиал)</t>
  </si>
  <si>
    <t>524943001</t>
  </si>
  <si>
    <t>27968016</t>
  </si>
  <si>
    <t>АО "НОКК" (Семеновский филиал)</t>
  </si>
  <si>
    <t>522845001</t>
  </si>
  <si>
    <t>20-11-2012 00:00:00</t>
  </si>
  <si>
    <t>31171901</t>
  </si>
  <si>
    <t>АО "НОКК" (Сеченовский филиал)</t>
  </si>
  <si>
    <t>523043001</t>
  </si>
  <si>
    <t>28007548</t>
  </si>
  <si>
    <t>АО "НОКК" (Шахунский филиал)</t>
  </si>
  <si>
    <t>523943001</t>
  </si>
  <si>
    <t>20-12-2012 00:00:00</t>
  </si>
  <si>
    <t>26358399</t>
  </si>
  <si>
    <t>АО "Нормаль"</t>
  </si>
  <si>
    <t>5257005345</t>
  </si>
  <si>
    <t>26358454</t>
  </si>
  <si>
    <t>АО "ПЕРВАЯ ОБРАЗЦОВАЯ ТИПОГРАФИЯ" ФИЛИАЛ "НИЖПОЛИГРАФ"</t>
  </si>
  <si>
    <t>7705709543</t>
  </si>
  <si>
    <t>770501001</t>
  </si>
  <si>
    <t>27-02-2023 00:00:00</t>
  </si>
  <si>
    <t>26555359</t>
  </si>
  <si>
    <t>АО "СГК"</t>
  </si>
  <si>
    <t>5254082550</t>
  </si>
  <si>
    <t>525401001</t>
  </si>
  <si>
    <t>Комбинированная выработка</t>
  </si>
  <si>
    <t>/Тепловая энергия/Производство/Комбинированная выработка</t>
  </si>
  <si>
    <t>01-01-2014 00:00:00</t>
  </si>
  <si>
    <t>26322331</t>
  </si>
  <si>
    <t>АО "СИБУР-НЕФТЕХИМ"</t>
  </si>
  <si>
    <t>5249051203</t>
  </si>
  <si>
    <t>12-07-2019 00:00:00</t>
  </si>
  <si>
    <t>26555361</t>
  </si>
  <si>
    <t>АО "СТСК"</t>
  </si>
  <si>
    <t>5254082630</t>
  </si>
  <si>
    <t>26358408</t>
  </si>
  <si>
    <t>АО "Теплоэнерго"</t>
  </si>
  <si>
    <t>5257087027</t>
  </si>
  <si>
    <t>01-11-2019 00:00:00</t>
  </si>
  <si>
    <t>01-10-2021 00:00:00</t>
  </si>
  <si>
    <t>26358184</t>
  </si>
  <si>
    <t>АО "Транспневматика"</t>
  </si>
  <si>
    <t>5224001190</t>
  </si>
  <si>
    <t>522401001</t>
  </si>
  <si>
    <t>26-10-1992 00:00:00</t>
  </si>
  <si>
    <t>01-01-2010 00:00:00</t>
  </si>
  <si>
    <t>27585148</t>
  </si>
  <si>
    <t>АО "ЭСК"</t>
  </si>
  <si>
    <t>5262054490</t>
  </si>
  <si>
    <t>07-09-2009 00:00:00</t>
  </si>
  <si>
    <t>26358197</t>
  </si>
  <si>
    <t>АО «ХОХЛОМСКАЯ РОСПИСЬ»</t>
  </si>
  <si>
    <t>5228001113</t>
  </si>
  <si>
    <t>522801001</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</si>
  <si>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</si>
  <si>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</si>
  <si>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</si>
  <si>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</si>
  <si>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</si>
  <si>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</si>
  <si>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</si>
  <si>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</si>
  <si>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</si>
  <si>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</si>
  <si>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</si>
  <si>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</si>
  <si>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</si>
  <si>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</si>
  <si>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</si>
  <si>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21-05-2013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</si>
  <si>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</si>
  <si>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</si>
  <si>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</si>
  <si>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</si>
  <si>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</si>
  <si>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</si>
  <si>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</si>
  <si>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</si>
  <si>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</si>
  <si>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</si>
  <si>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</si>
  <si>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</si>
  <si>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</si>
  <si>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</si>
  <si>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</si>
  <si>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</si>
  <si>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</si>
  <si>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</si>
  <si>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</si>
  <si>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</si>
  <si>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26358119</t>
  </si>
  <si>
    <t>ГБУ "Решетихинский ПНИ"</t>
  </si>
  <si>
    <t>5214003022</t>
  </si>
  <si>
    <t>521401001</t>
  </si>
  <si>
    <t>27579733</t>
  </si>
  <si>
    <t>ГБУ ОСРЦИ "Пушкино"</t>
  </si>
  <si>
    <t>5249050312</t>
  </si>
  <si>
    <t>17-01-2012 00:00:00</t>
  </si>
  <si>
    <t>26358243</t>
  </si>
  <si>
    <t>ГБУ СРЦИ "КРАСНЫЙ ЯР"</t>
  </si>
  <si>
    <t>5235001940</t>
  </si>
  <si>
    <t>523501001</t>
  </si>
  <si>
    <t>31036531</t>
  </si>
  <si>
    <t>ГБУ ССОН "АВТОЗАВОДСКИЙ ДОМ ДЛЯ ДЕТЕЙ "НАДЕЖДА"</t>
  </si>
  <si>
    <t>5256026159</t>
  </si>
  <si>
    <t>21-02-2018 00:00:00</t>
  </si>
  <si>
    <t>01-03-2018 00:00:00</t>
  </si>
  <si>
    <t>Теплоноситель - Производство :: Передача</t>
  </si>
  <si>
    <t>Производство :: Передача</t>
  </si>
  <si>
    <t>/Теплоноситель/Производство :: /Теплоноситель/Передача</t>
  </si>
  <si>
    <t>26555218</t>
  </si>
  <si>
    <t>ГБУЗ НО "КИСЕЛИХИНСКИЙ ОБЛАСТНОЙ ТЕРАПЕВТИЧЕСКИЙ ГОСПИТАЛЬ ДЛЯ ВЕТЕРАНОВ ВОЙН"</t>
  </si>
  <si>
    <t>5246010400</t>
  </si>
  <si>
    <t>11-08-2010 00:00:00</t>
  </si>
  <si>
    <t>26358374</t>
  </si>
  <si>
    <t>ГКОУ "ПАВЛОВСКИЙ САНАТОРНЫЙ ДЕТСКИЙ ДОМ"</t>
  </si>
  <si>
    <t>5252008631</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</si>
  <si>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</si>
  <si>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</si>
  <si>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</si>
  <si>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</si>
  <si>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01-01-2011 00:00:00</t>
  </si>
  <si>
    <t>14-04-2011 00:00:00</t>
  </si>
  <si>
    <t>26634205</t>
  </si>
  <si>
    <t>Дальнеконстантиновское МУПП ЖКХ</t>
  </si>
  <si>
    <t>5215001934</t>
  </si>
  <si>
    <t>521501001</t>
  </si>
  <si>
    <t>26358163</t>
  </si>
  <si>
    <t>Дмитриевское МУП ЖКХ</t>
  </si>
  <si>
    <t>5219382293</t>
  </si>
  <si>
    <t>521901001</t>
  </si>
  <si>
    <t>26555546</t>
  </si>
  <si>
    <t>ЗАО "Завод "Труд"</t>
  </si>
  <si>
    <t>5261005718</t>
  </si>
  <si>
    <t>26322355</t>
  </si>
  <si>
    <t>ЗАО "Концерн "Термаль"</t>
  </si>
  <si>
    <t>5261017382</t>
  </si>
  <si>
    <t>13-08-2008 00:00:00</t>
  </si>
  <si>
    <t>19-08-2008 00:00:00</t>
  </si>
  <si>
    <t>26358416</t>
  </si>
  <si>
    <t>ЗАО "Энерго групп"</t>
  </si>
  <si>
    <t>5258050559</t>
  </si>
  <si>
    <t>11-08-2023 00:00:00</t>
  </si>
  <si>
    <t>26358476</t>
  </si>
  <si>
    <t>ЗАО МЗ "РИЛС"</t>
  </si>
  <si>
    <t>5262020719</t>
  </si>
  <si>
    <t>526201001</t>
  </si>
  <si>
    <t>28870867</t>
  </si>
  <si>
    <t>ИП Копытова Н.В.</t>
  </si>
  <si>
    <t>523903931595</t>
  </si>
  <si>
    <t>01-03-2014 00:00:00</t>
  </si>
  <si>
    <t>31446275</t>
  </si>
  <si>
    <t>ИП МИХЕЕВ АНДРЕЙ ЛЕОНИДОВИЧ</t>
  </si>
  <si>
    <t>370202154863</t>
  </si>
  <si>
    <t>02-01-2022 00:00:00</t>
  </si>
  <si>
    <t>31543929</t>
  </si>
  <si>
    <t>ИП Павлов А.В.</t>
  </si>
  <si>
    <t>524402453501</t>
  </si>
  <si>
    <t>01-02-2022 00:00:00</t>
  </si>
  <si>
    <t>/Тепловая энергия/Передача</t>
  </si>
  <si>
    <t>Теплоноситель - Передача</t>
  </si>
  <si>
    <t>/Теплоноситель/Передача</t>
  </si>
  <si>
    <t>28868794</t>
  </si>
  <si>
    <t>ИП Чурашев Михаил Юрьевич</t>
  </si>
  <si>
    <t>525616836221</t>
  </si>
  <si>
    <t>01-01-2020 00:00:00</t>
  </si>
  <si>
    <t>27713249</t>
  </si>
  <si>
    <t>Лысковский филиал ООО "Арзамасское ПО "Автопровод"</t>
  </si>
  <si>
    <t>522202001</t>
  </si>
  <si>
    <t>26551350</t>
  </si>
  <si>
    <t>МОУ Белышевская школа</t>
  </si>
  <si>
    <t>5209004278</t>
  </si>
  <si>
    <t>520901001</t>
  </si>
  <si>
    <t>29648861</t>
  </si>
  <si>
    <t>МП "ВАДРЕСУРС"</t>
  </si>
  <si>
    <t>5206025103</t>
  </si>
  <si>
    <t>520601001</t>
  </si>
  <si>
    <t>26373529</t>
  </si>
  <si>
    <t>МП "Горводопровод"</t>
  </si>
  <si>
    <t>5228009786</t>
  </si>
  <si>
    <t>01-01-2018 00:00:00</t>
  </si>
  <si>
    <t>28942141</t>
  </si>
  <si>
    <t>МП "Жилкомсервис"</t>
  </si>
  <si>
    <t>5223034940</t>
  </si>
  <si>
    <t>01-03-2015 00:00:00</t>
  </si>
  <si>
    <t>31521764</t>
  </si>
  <si>
    <t>МП "ИЛЬИНО-ЗАБОРСКОЕ ЖКХ"</t>
  </si>
  <si>
    <t>5228058303</t>
  </si>
  <si>
    <t>01-07-2022 00:00:00</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</si>
  <si>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</si>
  <si>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</si>
  <si>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</si>
  <si>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</si>
  <si>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</si>
  <si>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</si>
  <si>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</si>
  <si>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</si>
  <si>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</si>
  <si>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</si>
  <si>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</si>
  <si>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</si>
  <si>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</si>
  <si>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27965842</t>
  </si>
  <si>
    <t>МП ЖКХ "Планета"</t>
  </si>
  <si>
    <t>5249012187</t>
  </si>
  <si>
    <t>19-11-2012 00:00:00</t>
  </si>
  <si>
    <t>31543727</t>
  </si>
  <si>
    <t>МП КОВЕРНИНСКОГО МУНИЦИПАЛЬНОГО ОКРУГА "ЖИЛИЩНО-КОММУНАЛЬНОЕ ХОЗЯЙСТВО "КОВЕРНИНО"</t>
  </si>
  <si>
    <t>5248044330</t>
  </si>
  <si>
    <t>524801001</t>
  </si>
  <si>
    <t>22-11-2021 00:00:00</t>
  </si>
  <si>
    <t>01-10-2022 00:00:00</t>
  </si>
  <si>
    <t>31691473</t>
  </si>
  <si>
    <t>МУК "ВЕТЛУЖСКИЙ РАЙОННЫЙ КУЛЬТУРНО-ДОСУГОВЫЙ ЦЕНТР"</t>
  </si>
  <si>
    <t>5209003972</t>
  </si>
  <si>
    <t>28-07-2023 00:00:00</t>
  </si>
  <si>
    <t>26551361</t>
  </si>
  <si>
    <t>МУК "Туранский дом культуры"</t>
  </si>
  <si>
    <t>5209005507</t>
  </si>
  <si>
    <t>26652819</t>
  </si>
  <si>
    <t>МУП "Большое Козино"</t>
  </si>
  <si>
    <t>5244022199</t>
  </si>
  <si>
    <t>26373543</t>
  </si>
  <si>
    <t>МУП "Бытсервис"</t>
  </si>
  <si>
    <t>5231004770</t>
  </si>
  <si>
    <t>523101001</t>
  </si>
  <si>
    <t>31247110</t>
  </si>
  <si>
    <t>МУП "ВОДНИК"</t>
  </si>
  <si>
    <t>5234005042</t>
  </si>
  <si>
    <t>523401001</t>
  </si>
  <si>
    <t>30855659</t>
  </si>
  <si>
    <t>МУП "ВОРОТЫНСКОЕ ЖКХ"</t>
  </si>
  <si>
    <t>5211759886</t>
  </si>
  <si>
    <t>521101001</t>
  </si>
  <si>
    <t>26358098</t>
  </si>
  <si>
    <t>МУП "Варнавинкоммунсервис"</t>
  </si>
  <si>
    <t>5207003582</t>
  </si>
  <si>
    <t>28871157</t>
  </si>
  <si>
    <t>МУП "Водоканал"</t>
  </si>
  <si>
    <t>5239010720</t>
  </si>
  <si>
    <t>01-01-2019 00:00:00</t>
  </si>
  <si>
    <t>27201619</t>
  </si>
  <si>
    <t>МУП "ДзержинскЭнерго"</t>
  </si>
  <si>
    <t>5249003457</t>
  </si>
  <si>
    <t>30-09-2011 00:00:00</t>
  </si>
  <si>
    <t>26358220</t>
  </si>
  <si>
    <t>МУП "Елизарово"</t>
  </si>
  <si>
    <t>5231004795</t>
  </si>
  <si>
    <t>28449409</t>
  </si>
  <si>
    <t>МУП "ЖКХ "СЕВЕРНЫЙ"</t>
  </si>
  <si>
    <t>5248036146</t>
  </si>
  <si>
    <t>28005091</t>
  </si>
  <si>
    <t>МУП "ЖКХ Буревестник"</t>
  </si>
  <si>
    <t>5248033561</t>
  </si>
  <si>
    <t>26358324</t>
  </si>
  <si>
    <t>МУП "ЖКХ Зарубинское"</t>
  </si>
  <si>
    <t>5248015611</t>
  </si>
  <si>
    <t>26358331</t>
  </si>
  <si>
    <t>МУП "ЖКХ Зиняковское"</t>
  </si>
  <si>
    <t>5248015700</t>
  </si>
  <si>
    <t>26358330</t>
  </si>
  <si>
    <t>МУП "ЖКХ Ковригинское"</t>
  </si>
  <si>
    <t>5248015690</t>
  </si>
  <si>
    <t>26358329</t>
  </si>
  <si>
    <t>МУП "ЖКХ Кумохинское"</t>
  </si>
  <si>
    <t>5248015682</t>
  </si>
  <si>
    <t>28147903</t>
  </si>
  <si>
    <t>МУП "ЖКХ Лысковского района"</t>
  </si>
  <si>
    <t>5222070569</t>
  </si>
  <si>
    <t>522201001</t>
  </si>
  <si>
    <t>26358335</t>
  </si>
  <si>
    <t>МУП "ЖКХ Мошковское"</t>
  </si>
  <si>
    <t>5248015756</t>
  </si>
  <si>
    <t>26358336</t>
  </si>
  <si>
    <t>МУП "ЖКХ ПЕРВОМАЙСКОЕ"</t>
  </si>
  <si>
    <t>5248016703</t>
  </si>
  <si>
    <t>31266429</t>
  </si>
  <si>
    <t>МУП "ЖКХ"</t>
  </si>
  <si>
    <t>5208006025</t>
  </si>
  <si>
    <t>520801001</t>
  </si>
  <si>
    <t>28871911</t>
  </si>
  <si>
    <t>МУП "КОММУНАЛЬЩИК"</t>
  </si>
  <si>
    <t>5225006709</t>
  </si>
  <si>
    <t>26552168</t>
  </si>
  <si>
    <t>МУП "КОМУНЭНЕРГО"</t>
  </si>
  <si>
    <t>5238006336</t>
  </si>
  <si>
    <t>523801001</t>
  </si>
  <si>
    <t>30354230</t>
  </si>
  <si>
    <t>МУП "КОНЕВО"</t>
  </si>
  <si>
    <t>5244029437</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</si>
  <si>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</si>
  <si>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</si>
  <si>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</si>
  <si>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</si>
  <si>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</si>
  <si>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</si>
  <si>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</si>
  <si>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</si>
  <si>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</si>
  <si>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</si>
  <si>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</si>
  <si>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</si>
  <si>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27808573</t>
  </si>
  <si>
    <t>МУП "Новосмолинское"</t>
  </si>
  <si>
    <t>5214010679</t>
  </si>
  <si>
    <t>23-05-2023 00:00:00</t>
  </si>
  <si>
    <t>31205512</t>
  </si>
  <si>
    <t>МУП "РАЙТОПСБЫТ"</t>
  </si>
  <si>
    <t>5226013120</t>
  </si>
  <si>
    <t>522601001</t>
  </si>
  <si>
    <t>30382083</t>
  </si>
  <si>
    <t>МУП "СЕВЕРНОЕ ЖКХ"</t>
  </si>
  <si>
    <t>5207016670</t>
  </si>
  <si>
    <t>26373630</t>
  </si>
  <si>
    <t>МУП "ТВК" г. Заволжья</t>
  </si>
  <si>
    <t>5248016372</t>
  </si>
  <si>
    <t>31348885</t>
  </si>
  <si>
    <t>МУП "ТРУД"</t>
  </si>
  <si>
    <t>5201002409</t>
  </si>
  <si>
    <t>520101001</t>
  </si>
  <si>
    <t>27573878</t>
  </si>
  <si>
    <t>МУП "Тепло"</t>
  </si>
  <si>
    <t>5252029494</t>
  </si>
  <si>
    <t>26552019</t>
  </si>
  <si>
    <t>МУП "Тепловик-1"</t>
  </si>
  <si>
    <t>5217001030</t>
  </si>
  <si>
    <t>521701001</t>
  </si>
  <si>
    <t>26358322</t>
  </si>
  <si>
    <t>МУП "Тепловые сети"</t>
  </si>
  <si>
    <t>5248011350</t>
  </si>
  <si>
    <t>26358221</t>
  </si>
  <si>
    <t>МУП "Теплоэнергия-1"</t>
  </si>
  <si>
    <t>5231004851</t>
  </si>
  <si>
    <t>26358231</t>
  </si>
  <si>
    <t>МУП "Тонкинские теплосети"</t>
  </si>
  <si>
    <t>5233002810</t>
  </si>
  <si>
    <t>523301001</t>
  </si>
  <si>
    <t>26373388</t>
  </si>
  <si>
    <t>МУП "Управляющая компания"</t>
  </si>
  <si>
    <t>5204001114</t>
  </si>
  <si>
    <t>520401001</t>
  </si>
  <si>
    <t>28053496</t>
  </si>
  <si>
    <t>МУП "ШОКС"</t>
  </si>
  <si>
    <t>5239010688</t>
  </si>
  <si>
    <t>21-01-2013 00:00:00</t>
  </si>
  <si>
    <t>26551775</t>
  </si>
  <si>
    <t>МУП "Юго-Запад"</t>
  </si>
  <si>
    <t>5227005267</t>
  </si>
  <si>
    <t>01-01-2022 00:00:00</t>
  </si>
  <si>
    <t>30872197</t>
  </si>
  <si>
    <t>МУП «КОММУНРЕСУРС КРАСНОБАКОВСКОГО МУНИЦИПАЛЬНОГО ОКРУГА»</t>
  </si>
  <si>
    <t>5219383900</t>
  </si>
  <si>
    <t>02-08-2016 00:00:00</t>
  </si>
  <si>
    <t>26358255</t>
  </si>
  <si>
    <t>МУП «ЧКАЛОВСКЭНЕРГОРЕСУРС»</t>
  </si>
  <si>
    <t>5236002390</t>
  </si>
  <si>
    <t>523601001</t>
  </si>
  <si>
    <t>31258650</t>
  </si>
  <si>
    <t>МУП ВАРНАВИНСКОГО МУНИЦИПАЛЬНОГО ОКРУГА «ТЕПЛОСНАБЖЕНИЕ»</t>
  </si>
  <si>
    <t>5207016782</t>
  </si>
  <si>
    <t>27577563</t>
  </si>
  <si>
    <t>МУП ЖКХ</t>
  </si>
  <si>
    <t>5237002949</t>
  </si>
  <si>
    <t>523701001</t>
  </si>
  <si>
    <t>26358136</t>
  </si>
  <si>
    <t>МУП ЖКХ "БОГОЯВЛЕНСКОЕ"</t>
  </si>
  <si>
    <t>5215010375</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</si>
  <si>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</si>
  <si>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</si>
  <si>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</si>
  <si>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</si>
  <si>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</si>
  <si>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</si>
  <si>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</si>
  <si>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</si>
  <si>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</si>
  <si>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</si>
  <si>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</si>
  <si>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</si>
  <si>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</si>
  <si>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</si>
  <si>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</si>
  <si>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28452082</t>
  </si>
  <si>
    <t>МУП ЖКХ "Сокол"</t>
  </si>
  <si>
    <t>5248034734</t>
  </si>
  <si>
    <t>26553600</t>
  </si>
  <si>
    <t>МУП ЖКХ Григоровского сельсовета</t>
  </si>
  <si>
    <t>5204001467</t>
  </si>
  <si>
    <t>26358297</t>
  </si>
  <si>
    <t>МУП ЖКХ С. КАМЕНКИ</t>
  </si>
  <si>
    <t>5245007965</t>
  </si>
  <si>
    <t>524501001</t>
  </si>
  <si>
    <t>26358091</t>
  </si>
  <si>
    <t>МУП ЖКХ п. Советский</t>
  </si>
  <si>
    <t>5204002319</t>
  </si>
  <si>
    <t>26358426</t>
  </si>
  <si>
    <t>ННГАСУ</t>
  </si>
  <si>
    <t>5260002707</t>
  </si>
  <si>
    <t>26358474</t>
  </si>
  <si>
    <t>ННГУ</t>
  </si>
  <si>
    <t>5262004442</t>
  </si>
  <si>
    <t>01-01-2013 00:00:00</t>
  </si>
  <si>
    <t>26555250</t>
  </si>
  <si>
    <t>НПАП № 1 - филиал ГП "Нижегородпассажиравтотранс"</t>
  </si>
  <si>
    <t>5260000192</t>
  </si>
  <si>
    <t>525703001</t>
  </si>
  <si>
    <t>26555257</t>
  </si>
  <si>
    <t>НПАП № 2 - филиал ГП "Нижегородпассажиравтотранс"</t>
  </si>
  <si>
    <t>525802001</t>
  </si>
  <si>
    <t>26358477</t>
  </si>
  <si>
    <t>ОАО "170 РЗ СОП"</t>
  </si>
  <si>
    <t>5262240714</t>
  </si>
  <si>
    <t>26358400</t>
  </si>
  <si>
    <t>ОАО "ВВПКП "Оборонпромкомплекс"</t>
  </si>
  <si>
    <t>5257007173</t>
  </si>
  <si>
    <t>26569255</t>
  </si>
  <si>
    <t>ОАО "Керма"</t>
  </si>
  <si>
    <t>5250001581</t>
  </si>
  <si>
    <t>525001001</t>
  </si>
  <si>
    <t>26358171</t>
  </si>
  <si>
    <t>ОАО "ЛЭТЗ"</t>
  </si>
  <si>
    <t>5222000882</t>
  </si>
  <si>
    <t>26555652</t>
  </si>
  <si>
    <t>ОАО "Оргсинтез"</t>
  </si>
  <si>
    <t>5259008239</t>
  </si>
  <si>
    <t>26358361</t>
  </si>
  <si>
    <t>ОАО "Павловский завод им.Кирова"</t>
  </si>
  <si>
    <t>5252000382</t>
  </si>
  <si>
    <t>27566914</t>
  </si>
  <si>
    <t>ОАО "Силикатный завод №1"</t>
  </si>
  <si>
    <t>5263008721</t>
  </si>
  <si>
    <t>31-12-2018 00:00:00</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</si>
  <si>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</si>
  <si>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</si>
  <si>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</si>
  <si>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</si>
  <si>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</si>
  <si>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</si>
  <si>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</si>
  <si>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</si>
  <si>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</si>
  <si>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</si>
  <si>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26358389</t>
  </si>
  <si>
    <t>ООО "Автозаводская ТЭЦ"</t>
  </si>
  <si>
    <t>5256049357</t>
  </si>
  <si>
    <t>Комбинированная выработка :: Некомбинированная выработка</t>
  </si>
  <si>
    <t>/Тепловая энергия/Производство/Комбинированная выработка :: /Тепловая энергия/Производство/Некомбинированная выработка</t>
  </si>
  <si>
    <t>26358283</t>
  </si>
  <si>
    <t>ООО "Арзамасское ПО "Автопровод"</t>
  </si>
  <si>
    <t>26647119</t>
  </si>
  <si>
    <t>ООО "Атриум Инвест"</t>
  </si>
  <si>
    <t>5259088139</t>
  </si>
  <si>
    <t>01-01-2012 00:00:00</t>
  </si>
  <si>
    <t>28460925</t>
  </si>
  <si>
    <t>ООО "БТГ"</t>
  </si>
  <si>
    <t>5246043620</t>
  </si>
  <si>
    <t>31618550</t>
  </si>
  <si>
    <t>ООО "БУГРОВСКИЕ МЕЛЬНИЦЫ"</t>
  </si>
  <si>
    <t>5259154060</t>
  </si>
  <si>
    <t>28013687</t>
  </si>
  <si>
    <t>ООО "Бор Инвест"</t>
  </si>
  <si>
    <t>5246041888</t>
  </si>
  <si>
    <t>25-12-2012 00:00:00</t>
  </si>
  <si>
    <t>28460965</t>
  </si>
  <si>
    <t>ООО "Бор Теплоэнерго"</t>
  </si>
  <si>
    <t>5246043589</t>
  </si>
  <si>
    <t>01-02-2014 00:00:00</t>
  </si>
  <si>
    <t>01-12-2014 00:00:00</t>
  </si>
  <si>
    <t>01-04-2016 00:00:00</t>
  </si>
  <si>
    <t>26358491</t>
  </si>
  <si>
    <t>ООО "Бутурлинское жилищно-коммунальное хозяйство"</t>
  </si>
  <si>
    <t>5205004630</t>
  </si>
  <si>
    <t>520501001</t>
  </si>
  <si>
    <t>01-12-2022 00:00:00</t>
  </si>
  <si>
    <t>31211396</t>
  </si>
  <si>
    <t>ООО "ВЕРУС ГРУПП"</t>
  </si>
  <si>
    <t>5257173928</t>
  </si>
  <si>
    <t>01-11-2018 00:00:00</t>
  </si>
  <si>
    <t>31187851</t>
  </si>
  <si>
    <t>ООО "ВОЛГАРЕСУРС"</t>
  </si>
  <si>
    <t>5244031394</t>
  </si>
  <si>
    <t>26358435</t>
  </si>
  <si>
    <t>ООО "Высоковский кирпичный завод+"</t>
  </si>
  <si>
    <t>5260108580</t>
  </si>
  <si>
    <t>31448442</t>
  </si>
  <si>
    <t>ООО "ГЛОБАЛЛОГИСТИК"</t>
  </si>
  <si>
    <t>5401307630</t>
  </si>
  <si>
    <t>01-11-2020 00:00:00</t>
  </si>
  <si>
    <t>26373418</t>
  </si>
  <si>
    <t>ООО "Гагинское ЖКХ"</t>
  </si>
  <si>
    <t>5213004143</t>
  </si>
  <si>
    <t>521301001</t>
  </si>
  <si>
    <t>27866190</t>
  </si>
  <si>
    <t>ООО "Генерация тепла"</t>
  </si>
  <si>
    <t>5258103070</t>
  </si>
  <si>
    <t>24-09-2012 00:00:00</t>
  </si>
  <si>
    <t>28502351</t>
  </si>
  <si>
    <t>ООО "Гефест"</t>
  </si>
  <si>
    <t>5239010310</t>
  </si>
  <si>
    <t>22-04-2014 00:00:00</t>
  </si>
  <si>
    <t>30385011</t>
  </si>
  <si>
    <t>ООО "Гранит"</t>
  </si>
  <si>
    <t>5260182440</t>
  </si>
  <si>
    <t>01-07-2021 00:00:00</t>
  </si>
  <si>
    <t>28265659</t>
  </si>
  <si>
    <t>ООО "Дзержинсктеплогаз"</t>
  </si>
  <si>
    <t>5249123377</t>
  </si>
  <si>
    <t>10-09-2013 00:00:00</t>
  </si>
  <si>
    <t>31196698</t>
  </si>
  <si>
    <t>ООО "ЖБС-5"</t>
  </si>
  <si>
    <t>5263130707</t>
  </si>
  <si>
    <t>01-10-2018 00:00:00</t>
  </si>
  <si>
    <t>31438254</t>
  </si>
  <si>
    <t>ООО "ЗАЛЕСНОЕ"</t>
  </si>
  <si>
    <t>5228055729</t>
  </si>
  <si>
    <t>01-09-2020 00:00:00</t>
  </si>
  <si>
    <t>28858492</t>
  </si>
  <si>
    <t>ООО "ЗЕНИТ ЭНЕРГО"</t>
  </si>
  <si>
    <t>5262305560</t>
  </si>
  <si>
    <t>08-09-2014 00:00:00</t>
  </si>
  <si>
    <t>01-01-2015 00:00:00</t>
  </si>
  <si>
    <t>31306641</t>
  </si>
  <si>
    <t>ООО "ИНЖЕНЕРНЫЙ ЦЕНТР"</t>
  </si>
  <si>
    <t>5246053330</t>
  </si>
  <si>
    <t>03-04-2019 00:00:00</t>
  </si>
  <si>
    <t>28821602</t>
  </si>
  <si>
    <t>ООО "Интер"</t>
  </si>
  <si>
    <t>5250060280</t>
  </si>
  <si>
    <t>31061810</t>
  </si>
  <si>
    <t>ООО "КАПИТАЛ-МЕНЕДЖМЕНТ"</t>
  </si>
  <si>
    <t>5258135717</t>
  </si>
  <si>
    <t>20-03-2018 00:00:00</t>
  </si>
  <si>
    <t>26358471</t>
  </si>
  <si>
    <t>ООО "КЛАСС ПЛЮС"</t>
  </si>
  <si>
    <t>5261106233</t>
  </si>
  <si>
    <t>30854345</t>
  </si>
  <si>
    <t>ООО "КОММУНАЛЬЩИК-НН"</t>
  </si>
  <si>
    <t>5245027023</t>
  </si>
  <si>
    <t>19-10-2015 00:00:00</t>
  </si>
  <si>
    <t>28815743</t>
  </si>
  <si>
    <t>ООО "КСК"</t>
  </si>
  <si>
    <t>5256122751</t>
  </si>
  <si>
    <t>25-09-2014 00:00:00</t>
  </si>
  <si>
    <t>04-05-2017 00:00:00</t>
  </si>
  <si>
    <t>28043750</t>
  </si>
  <si>
    <t>ООО "Княгининский Стройгаз"</t>
  </si>
  <si>
    <t>5217003648</t>
  </si>
  <si>
    <t>28455154</t>
  </si>
  <si>
    <t>ООО "Коммунсервис"</t>
  </si>
  <si>
    <t>5235007356</t>
  </si>
  <si>
    <t>30939581</t>
  </si>
  <si>
    <t>ООО "ЛЕСПРОМ"</t>
  </si>
  <si>
    <t>5234004176</t>
  </si>
  <si>
    <t>31350312</t>
  </si>
  <si>
    <t>ООО "МНУЦ ВТИ"</t>
  </si>
  <si>
    <t>7709956215</t>
  </si>
  <si>
    <t>770901001</t>
  </si>
  <si>
    <t>26555644</t>
  </si>
  <si>
    <t>ООО "НЗ "СТАРТ"</t>
  </si>
  <si>
    <t>5262154550</t>
  </si>
  <si>
    <t>23-08-2006 00:00:00</t>
  </si>
  <si>
    <t>27567031</t>
  </si>
  <si>
    <t>ООО "НОРМА"</t>
  </si>
  <si>
    <t>5261015233</t>
  </si>
  <si>
    <t>19-12-2008 00:00:00</t>
  </si>
  <si>
    <t>31230061</t>
  </si>
  <si>
    <t>ООО "НТФ"</t>
  </si>
  <si>
    <t>5262360338</t>
  </si>
  <si>
    <t>03-12-2018 00:00:00</t>
  </si>
  <si>
    <t>31212674</t>
  </si>
  <si>
    <t>ООО "НТЦ"</t>
  </si>
  <si>
    <t>5223035415</t>
  </si>
  <si>
    <t>05-09-2018 00:00:00</t>
  </si>
  <si>
    <t>30-10-2018 00:00:00</t>
  </si>
  <si>
    <t>26555147</t>
  </si>
  <si>
    <t>ООО "Нижегородтеплогаз"</t>
  </si>
  <si>
    <t>5262068407</t>
  </si>
  <si>
    <t>26551993</t>
  </si>
  <si>
    <t>ООО "Нижновтеплоэнерго"</t>
  </si>
  <si>
    <t>5257079570</t>
  </si>
  <si>
    <t>02-08-2010 00:00:00</t>
  </si>
  <si>
    <t>27909014</t>
  </si>
  <si>
    <t>ООО "Николь-Пак Империал"</t>
  </si>
  <si>
    <t>5258044065</t>
  </si>
  <si>
    <t>04-10-2002 00:00:00</t>
  </si>
  <si>
    <t>22-10-2019 00:00:00</t>
  </si>
  <si>
    <t>28942293</t>
  </si>
  <si>
    <t>ООО "ОКАТЕПЛОСЕРВИС"</t>
  </si>
  <si>
    <t>5214011802</t>
  </si>
  <si>
    <t>31340582</t>
  </si>
  <si>
    <t>ООО "ОРК"</t>
  </si>
  <si>
    <t>5259120135</t>
  </si>
  <si>
    <t>26358434</t>
  </si>
  <si>
    <t>ООО "Оздоровительный комплекс "Молодость"</t>
  </si>
  <si>
    <t>5260069067</t>
  </si>
  <si>
    <t>31684742</t>
  </si>
  <si>
    <t>ООО "ПРОМТЕХ"</t>
  </si>
  <si>
    <t>5243040815</t>
  </si>
  <si>
    <t>01-06-2023 00:00:00</t>
  </si>
  <si>
    <t>31394997</t>
  </si>
  <si>
    <t>ООО "ПРОМЭНЕРГО ЛУКИНО"</t>
  </si>
  <si>
    <t>5244032285</t>
  </si>
  <si>
    <t>31461541</t>
  </si>
  <si>
    <t>ООО "ПРОФСТРОЙПРОЕКТ НН"</t>
  </si>
  <si>
    <t>5245012980</t>
  </si>
  <si>
    <t>28951517</t>
  </si>
  <si>
    <t>ООО "Поволжье - Ресурс"</t>
  </si>
  <si>
    <t>5209005539</t>
  </si>
  <si>
    <t>27719695</t>
  </si>
  <si>
    <t>ООО "ПримаЭнерго"</t>
  </si>
  <si>
    <t>5259069383</t>
  </si>
  <si>
    <t>24-05-2012 00:00:00</t>
  </si>
  <si>
    <t>28455277</t>
  </si>
  <si>
    <t>ООО "Промтепло"</t>
  </si>
  <si>
    <t>5251009826</t>
  </si>
  <si>
    <t>525101001</t>
  </si>
  <si>
    <t>26651300</t>
  </si>
  <si>
    <t>ООО "ПрофТепло"</t>
  </si>
  <si>
    <t>5202007216</t>
  </si>
  <si>
    <t>520201001</t>
  </si>
  <si>
    <t>28425154</t>
  </si>
  <si>
    <t>ООО "Профит"</t>
  </si>
  <si>
    <t>5262287335</t>
  </si>
  <si>
    <t>770301001</t>
  </si>
  <si>
    <t>11-11-2013 00:00:00</t>
  </si>
  <si>
    <t>26829810</t>
  </si>
  <si>
    <t>ООО "РАСКО-Энергосервис"</t>
  </si>
  <si>
    <t>5259033115</t>
  </si>
  <si>
    <t>19-05-2011 00:00:00</t>
  </si>
  <si>
    <t>30953148</t>
  </si>
  <si>
    <t>ООО "РЕМОНТНИК"</t>
  </si>
  <si>
    <t>5222071530</t>
  </si>
  <si>
    <t>31193125</t>
  </si>
  <si>
    <t>ООО "РИКОР ЭНЕРГО"</t>
  </si>
  <si>
    <t>5243036135</t>
  </si>
  <si>
    <t>524303613</t>
  </si>
  <si>
    <t>07-09-2018 00:00:00</t>
  </si>
  <si>
    <t>31401059</t>
  </si>
  <si>
    <t>ООО "РУАН"</t>
  </si>
  <si>
    <t>5263138167</t>
  </si>
  <si>
    <t>02-06-2022 00:00:00</t>
  </si>
  <si>
    <t>30884490</t>
  </si>
  <si>
    <t>ООО "РУССКИЙ СТАНДАРТ"</t>
  </si>
  <si>
    <t>5260403297</t>
  </si>
  <si>
    <t>12-01-2015 00:00:00</t>
  </si>
  <si>
    <t>31624417</t>
  </si>
  <si>
    <t>ООО "СЕВЕРНЫЕ КОММУНАЛЬНЫЕ СЕТИ"</t>
  </si>
  <si>
    <t>5235007589</t>
  </si>
  <si>
    <t>31241397</t>
  </si>
  <si>
    <t>ООО "СК МАДИС"</t>
  </si>
  <si>
    <t>5047160143</t>
  </si>
  <si>
    <t>31222003</t>
  </si>
  <si>
    <t>ООО "СПЕЦИАЛИЗИРОВАННЫЙ ЗАСТРОЙЩИК "СПЕКТР"</t>
  </si>
  <si>
    <t>7716643855</t>
  </si>
  <si>
    <t>772201001</t>
  </si>
  <si>
    <t>26640583</t>
  </si>
  <si>
    <t>ООО "СТН-Энергосети"</t>
  </si>
  <si>
    <t>5260283448</t>
  </si>
  <si>
    <t>23-12-2010 00:00:00</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</si>
  <si>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</si>
  <si>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</si>
  <si>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</si>
  <si>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</si>
  <si>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</si>
  <si>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</si>
  <si>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</si>
  <si>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</si>
  <si>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</si>
  <si>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</si>
  <si>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</si>
  <si>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</si>
  <si>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</si>
  <si>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</si>
  <si>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</si>
  <si>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</si>
  <si>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</si>
  <si>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</si>
  <si>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27322384</t>
  </si>
  <si>
    <t>ООО "Сухобезводнинское ЖКХ"</t>
  </si>
  <si>
    <t>5228056070</t>
  </si>
  <si>
    <t>24-10-2011 00:00:00</t>
  </si>
  <si>
    <t>31196714</t>
  </si>
  <si>
    <t>31345881</t>
  </si>
  <si>
    <t>ООО "ТЕПЛОСЕТЬ"</t>
  </si>
  <si>
    <t>5258145472</t>
  </si>
  <si>
    <t>01-10-2019 00:00:00</t>
  </si>
  <si>
    <t>31386831</t>
  </si>
  <si>
    <t>ООО "ТЕПЛОСТРОЙ"</t>
  </si>
  <si>
    <t>5260386637</t>
  </si>
  <si>
    <t>01-06-2022 00:00:00</t>
  </si>
  <si>
    <t>31614648</t>
  </si>
  <si>
    <t>ООО "ТЕХНОЛОГИКА"</t>
  </si>
  <si>
    <t>5249172857</t>
  </si>
  <si>
    <t>30376603</t>
  </si>
  <si>
    <t>ООО "ТК "Ждановский"</t>
  </si>
  <si>
    <t>5250047473</t>
  </si>
  <si>
    <t>30989316</t>
  </si>
  <si>
    <t>ООО "ТОПЛИВНАЯ КОМПАНИЯ"</t>
  </si>
  <si>
    <t>5252041075</t>
  </si>
  <si>
    <t>28424890</t>
  </si>
  <si>
    <t>ООО "ТЭК"</t>
  </si>
  <si>
    <t>5262291250</t>
  </si>
  <si>
    <t>28460888</t>
  </si>
  <si>
    <t>ООО "Тепловик"</t>
  </si>
  <si>
    <t>5246043606</t>
  </si>
  <si>
    <t>23-01-2014 00:00:00</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</si>
  <si>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</si>
  <si>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</si>
  <si>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</si>
  <si>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</si>
  <si>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</si>
  <si>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</si>
  <si>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</si>
  <si>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</si>
  <si>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</si>
  <si>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</si>
  <si>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</si>
  <si>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</si>
  <si>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</si>
  <si>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</si>
  <si>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</si>
  <si>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</si>
  <si>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</si>
  <si>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</si>
  <si>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</si>
  <si>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</si>
  <si>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</si>
  <si>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</si>
  <si>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</si>
  <si>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31520267</t>
  </si>
  <si>
    <t>ООО "УК ТЭСК"</t>
  </si>
  <si>
    <t>7730254681</t>
  </si>
  <si>
    <t>773001001</t>
  </si>
  <si>
    <t>31615793</t>
  </si>
  <si>
    <t>ООО "ФЕНИКС"</t>
  </si>
  <si>
    <t>5244029349</t>
  </si>
  <si>
    <t>26951224</t>
  </si>
  <si>
    <t>ООО "ФИТОФАРМ-НН"</t>
  </si>
  <si>
    <t>5261035060</t>
  </si>
  <si>
    <t>09-08-2011 00:00:00</t>
  </si>
  <si>
    <t>27632973</t>
  </si>
  <si>
    <t>ООО "ФСК "Энерго Строй"</t>
  </si>
  <si>
    <t>5257055240</t>
  </si>
  <si>
    <t>26358445</t>
  </si>
  <si>
    <t>ООО "ЦТО "Меркурий"</t>
  </si>
  <si>
    <t>5260096462</t>
  </si>
  <si>
    <t>30437014</t>
  </si>
  <si>
    <t>ООО "ЭКОТЕПЛОСЕРВИС-КСТОВО"</t>
  </si>
  <si>
    <t>5260393708</t>
  </si>
  <si>
    <t>30830889</t>
  </si>
  <si>
    <t>ООО "ЭЛКОСТ"</t>
  </si>
  <si>
    <t>5257141193</t>
  </si>
  <si>
    <t>01-07-2016 00:00:00</t>
  </si>
  <si>
    <t>30871726</t>
  </si>
  <si>
    <t>ООО "ЭНЕРГИЯ"</t>
  </si>
  <si>
    <t>5259125630</t>
  </si>
  <si>
    <t>18-08-2016 00:00:00</t>
  </si>
  <si>
    <t>20-01-2017 00:00:00</t>
  </si>
  <si>
    <t>30957617</t>
  </si>
  <si>
    <t>ООО "ЭНЕРДЖИПРО-НН"</t>
  </si>
  <si>
    <t>5260439649</t>
  </si>
  <si>
    <t>27599100</t>
  </si>
  <si>
    <t>ООО "ЭкоТеплоСервис-Семенов"</t>
  </si>
  <si>
    <t>5228055662</t>
  </si>
  <si>
    <t>30-01-2012 00:00:00</t>
  </si>
  <si>
    <t>28053587</t>
  </si>
  <si>
    <t>ООО "ЭкоТеплосервис-Шахунья"</t>
  </si>
  <si>
    <t>5239009837</t>
  </si>
  <si>
    <t>26358455</t>
  </si>
  <si>
    <t>ООО "Энергосервис"</t>
  </si>
  <si>
    <t>5260178764</t>
  </si>
  <si>
    <t>26358378</t>
  </si>
  <si>
    <t>ООО Агрофирма "Павловская"</t>
  </si>
  <si>
    <t>5252011169</t>
  </si>
  <si>
    <t>26506413</t>
  </si>
  <si>
    <t>ООО НПО "Мехинструмент"</t>
  </si>
  <si>
    <t>5252024087</t>
  </si>
  <si>
    <t>28875534</t>
  </si>
  <si>
    <t>ООО ПКФ "ТЕПЛО"</t>
  </si>
  <si>
    <t>5251009953</t>
  </si>
  <si>
    <t>01-02-2015 00:00:00</t>
  </si>
  <si>
    <t>26358079</t>
  </si>
  <si>
    <t>ООО ФИРМА "МУХТОЛОВСКАЯ СПЕЦОДЕЖДА"</t>
  </si>
  <si>
    <t>5201000867</t>
  </si>
  <si>
    <t>31390562</t>
  </si>
  <si>
    <t>ООО"КС-ТВК"</t>
  </si>
  <si>
    <t>5244014078</t>
  </si>
  <si>
    <t>26358459</t>
  </si>
  <si>
    <t>ПАО "ЗИП"</t>
  </si>
  <si>
    <t>5260900066</t>
  </si>
  <si>
    <t>05-09-2006 00:00:00</t>
  </si>
  <si>
    <t>26322338</t>
  </si>
  <si>
    <t>ПАО "ЗМЗ"</t>
  </si>
  <si>
    <t>5248004137</t>
  </si>
  <si>
    <t>26322359</t>
  </si>
  <si>
    <t>ПАО "Завод "Красное Сормово"</t>
  </si>
  <si>
    <t>5263006629</t>
  </si>
  <si>
    <t>26358466</t>
  </si>
  <si>
    <t>ПАО "НИТЕЛ"</t>
  </si>
  <si>
    <t>5261001745</t>
  </si>
  <si>
    <t>29-10-1992 00:00:00</t>
  </si>
  <si>
    <t>31596848</t>
  </si>
  <si>
    <t>ПАО "ОАК"</t>
  </si>
  <si>
    <t>7708619320</t>
  </si>
  <si>
    <t>26380702</t>
  </si>
  <si>
    <t>ПАО "ПАВЛОВСКИЙ АВТОБУС"</t>
  </si>
  <si>
    <t>5252000350</t>
  </si>
  <si>
    <t>27805620</t>
  </si>
  <si>
    <t>ПО "Техсервис"</t>
  </si>
  <si>
    <t>5219005665</t>
  </si>
  <si>
    <t>26358159</t>
  </si>
  <si>
    <t>Прудовское МУП ЖКХ</t>
  </si>
  <si>
    <t>5219005129</t>
  </si>
  <si>
    <t>26358256</t>
  </si>
  <si>
    <t>Пуреховское МУП ЖКХ</t>
  </si>
  <si>
    <t>5236002880</t>
  </si>
  <si>
    <t>26358149</t>
  </si>
  <si>
    <t>СПК "Хохлома"</t>
  </si>
  <si>
    <t>5218000784</t>
  </si>
  <si>
    <t>521801001</t>
  </si>
  <si>
    <t>27372109</t>
  </si>
  <si>
    <t>Суроватихинское МУМПЖКХ</t>
  </si>
  <si>
    <t>5215000722</t>
  </si>
  <si>
    <t>31612520</t>
  </si>
  <si>
    <t>УФСБ РОССИИ ПО НИЖЕГОРОДСКОЙ ОБЛАСТИ</t>
  </si>
  <si>
    <t>5260051260</t>
  </si>
  <si>
    <t>01-11-2022 00:00:00</t>
  </si>
  <si>
    <t>31025414</t>
  </si>
  <si>
    <t>ФГБУ "ЦЖКУ" МИНОБОРОНЫ РОССИИ</t>
  </si>
  <si>
    <t>7729314745</t>
  </si>
  <si>
    <t>526245001</t>
  </si>
  <si>
    <t>01-04-2017 00:00:00</t>
  </si>
  <si>
    <t>26768505</t>
  </si>
  <si>
    <t>ФГУП "РФЯЦ-ВНИИЭФ"</t>
  </si>
  <si>
    <t>5254001230</t>
  </si>
  <si>
    <t>07-02-2011 00:00:00</t>
  </si>
  <si>
    <t>26555503</t>
  </si>
  <si>
    <t>ФГУП "Российская телевизионная и радиовещательная сеть"</t>
  </si>
  <si>
    <t>7717127211</t>
  </si>
  <si>
    <t>526202001</t>
  </si>
  <si>
    <t>01-01-2009 00:00:00</t>
  </si>
  <si>
    <t>26322363</t>
  </si>
  <si>
    <t>ФКП "Завод имени Я.М. Свердлова"</t>
  </si>
  <si>
    <t>5249002485</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</si>
  <si>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</si>
  <si>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</si>
  <si>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</si>
  <si>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</si>
  <si>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</si>
  <si>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</si>
  <si>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</si>
  <si>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522101001</t>
  </si>
  <si>
    <t>30884483</t>
  </si>
  <si>
    <t>ФКУ ИК-6 ГУФСИН РОССИИ ПО НИЖЕГОРОДСКОЙ ОБЛАСТИ</t>
  </si>
  <si>
    <t>5207002300</t>
  </si>
  <si>
    <t>11-03-2011 00:00:00</t>
  </si>
  <si>
    <t>27-01-2023 00:00:00</t>
  </si>
  <si>
    <t>27577557</t>
  </si>
  <si>
    <t>ФКУ ИК-7 ГУФСИН РОССИИ ПО НИЖЕГОРОДСКОЙ ОБЛАСТИ</t>
  </si>
  <si>
    <t>5207002317</t>
  </si>
  <si>
    <t>27967274</t>
  </si>
  <si>
    <t>ФКУ КП-15 ГУФСИН России по Нижегородской области</t>
  </si>
  <si>
    <t>5206002113</t>
  </si>
  <si>
    <t>26358151</t>
  </si>
  <si>
    <t>ФКУ ЛИУ-3 ГУФСИН РОССИИ ПО НИЖЕГОРОДСКОЙ ОБЛАСТИ</t>
  </si>
  <si>
    <t>5219004125</t>
  </si>
  <si>
    <t>21-03-2011 00:00:00</t>
  </si>
  <si>
    <t>28942868</t>
  </si>
  <si>
    <t>Филиал "Нижегородский" ПАО "Т ПЛЮС"</t>
  </si>
  <si>
    <t>6315376946</t>
  </si>
  <si>
    <t>526043001</t>
  </si>
  <si>
    <t>20-03-2015 00:00:00</t>
  </si>
  <si>
    <t>Комбинированная выработка :: Сбыт :: Передача</t>
  </si>
  <si>
    <t>/Тепловая энергия/Производство/Комбинированная выработка :: /Тепловая энергия/Сбыт :: /Тепловая энергия/Передача</t>
  </si>
  <si>
    <t>01-01-2016 00:00:00</t>
  </si>
  <si>
    <t>26358439</t>
  </si>
  <si>
    <t>Филиал ООО "Газпром трансгаз Нижний Новгород" - Семеновское ЛПУ МГ</t>
  </si>
  <si>
    <t>5260080007</t>
  </si>
  <si>
    <t>522802001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</si>
  <si>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</si>
  <si>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</si>
  <si>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</si>
  <si>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</si>
  <si>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</si>
  <si>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</si>
  <si>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19-03-2020 00:00:00</t>
  </si>
  <si>
    <t>Оказание услуг в сфере горячего водоснабжения</t>
  </si>
  <si>
    <t>Сбыт :: Производство :: Транспортировка</t>
  </si>
  <si>
    <t>/ГВС/Сбыт :: /ГВС/Производство :: /ГВС/Транспортировка</t>
  </si>
  <si>
    <t>01-04-2019 00:00:00</t>
  </si>
  <si>
    <t>01-08-2019 00:00:00</t>
  </si>
  <si>
    <t>Поставка горячей воды</t>
  </si>
  <si>
    <t>/ГВС/Транспортировка</t>
  </si>
  <si>
    <t>Производство</t>
  </si>
  <si>
    <t>/ГВС/Производство</t>
  </si>
  <si>
    <t>Сбыт :: Транспортировка</t>
  </si>
  <si>
    <t>/ГВС/Сбыт :: /ГВС/Транспортировка</t>
  </si>
  <si>
    <t>Производство :: Транспортировка</t>
  </si>
  <si>
    <t>/ГВС/Производство :: /ГВС/Транспортировка</t>
  </si>
  <si>
    <t>Сбыт</t>
  </si>
  <si>
    <t>/ГВС/Сбыт</t>
  </si>
  <si>
    <t>Сбыт :: Производство</t>
  </si>
  <si>
    <t>/ГВС/Сбыт :: /ГВС/Производство</t>
  </si>
  <si>
    <t>01-07-2019 00:00:00</t>
  </si>
  <si>
    <t>26358102</t>
  </si>
  <si>
    <t>ООО "КомСервис"</t>
  </si>
  <si>
    <t>5208005141</t>
  </si>
  <si>
    <t>28457679</t>
  </si>
  <si>
    <t>ООО "Мухтоловское ЖКХ"</t>
  </si>
  <si>
    <t>5201000264</t>
  </si>
  <si>
    <t>03-07-2012 00:00:00</t>
  </si>
  <si>
    <t>01-10-2020 00:00:00</t>
  </si>
  <si>
    <t>06-02-2018 00:00:00</t>
  </si>
  <si>
    <t>27569496</t>
  </si>
  <si>
    <t>АО "БЭТ"</t>
  </si>
  <si>
    <t>7708669867</t>
  </si>
  <si>
    <t>770801001</t>
  </si>
  <si>
    <t>11-01-2012 00:00:00</t>
  </si>
  <si>
    <t>Оказание услуг в сфере водоснабжения</t>
  </si>
  <si>
    <t>Подвоз воды :: Техническая :: Питьевая :: Техническая :: Питьевая :: Техническая :: Питьевая :: Очистка</t>
  </si>
  <si>
    <t>/ХВС/Подвоз воды :: /ХВС/Сбыт/Техническая :: /ХВС/Сбыт/Питьевая :: /ХВС/Транспортировка/Техническая :: /ХВС/Транспортировка/Питьевая :: /ХВС/Производство/Техническая :: /ХВС/Производство/Питьевая :: /ХВС/Очистка</t>
  </si>
  <si>
    <t>26373603</t>
  </si>
  <si>
    <t>АО "Борский водоканал"</t>
  </si>
  <si>
    <t>5246035757</t>
  </si>
  <si>
    <t>Питьевая :: Питьевая :: Питьевая</t>
  </si>
  <si>
    <t>/ХВС/Сбыт/Питьевая :: /ХВС/Транспортировка/Питьевая :: /ХВС/Производство/Питьевая</t>
  </si>
  <si>
    <t>Транспортировка воды</t>
  </si>
  <si>
    <t>31342493</t>
  </si>
  <si>
    <t>АО "ВЫКСУНСКИЙ ВОДОКАНАЛ"</t>
  </si>
  <si>
    <t>5247055210</t>
  </si>
  <si>
    <t>Техническая :: Техническая :: Техническая</t>
  </si>
  <si>
    <t>/ХВС/Сбыт/Техническая :: /ХВС/Транспортировка/Техническая :: /ХВС/Производство/Техническая</t>
  </si>
  <si>
    <t>26373632</t>
  </si>
  <si>
    <t>АО "ДВК"</t>
  </si>
  <si>
    <t>5260154749</t>
  </si>
  <si>
    <t>14-10-2010 00:00:00</t>
  </si>
  <si>
    <t>28158144</t>
  </si>
  <si>
    <t>АО "ИП "Ока-Полимер"</t>
  </si>
  <si>
    <t>5249120810</t>
  </si>
  <si>
    <t>Техническая</t>
  </si>
  <si>
    <t>/ХВС/Сбыт/Техническая</t>
  </si>
  <si>
    <t>26555226</t>
  </si>
  <si>
    <t>АО "ЛИНДОВСКОЕ"</t>
  </si>
  <si>
    <t>5246000377</t>
  </si>
  <si>
    <t>01-12-2021 00:00:00</t>
  </si>
  <si>
    <t>Техническая :: Питьевая</t>
  </si>
  <si>
    <t>/ХВС/Производство/Техническая :: /ХВС/Производство/Питьевая</t>
  </si>
  <si>
    <t>26373662</t>
  </si>
  <si>
    <t>АО "НИЖЕГОРОДСКИЙ ВОДОКАНАЛ"</t>
  </si>
  <si>
    <t>5257086827</t>
  </si>
  <si>
    <t>Техническая :: Питьевая :: Техническая :: Питьевая :: Техническая :: Питьевая :: Очистка</t>
  </si>
  <si>
    <t>/ХВС/Сбыт/Техническая :: /ХВС/Сбыт/Питьевая :: /ХВС/Транспортировка/Техническая :: /ХВС/Транспортировка/Питьевая :: /ХВС/Производство/Техническая :: /ХВС/Производство/Питьевая :: /ХВС/Очистка</t>
  </si>
  <si>
    <t>26358290</t>
  </si>
  <si>
    <t>АО "НПО "ПРЗ"</t>
  </si>
  <si>
    <t>5244012779</t>
  </si>
  <si>
    <t>27579751</t>
  </si>
  <si>
    <t>АО "НПП "Исток" им. Шокина"</t>
  </si>
  <si>
    <t>5050108496</t>
  </si>
  <si>
    <t>520243001</t>
  </si>
  <si>
    <t>07-02-1992 00:00:00</t>
  </si>
  <si>
    <t>26358461</t>
  </si>
  <si>
    <t>АО "ТРАНСНЕФТЬ-ВЕРХНЯЯ ВОЛГА"</t>
  </si>
  <si>
    <t>5260900725</t>
  </si>
  <si>
    <t>26373555</t>
  </si>
  <si>
    <t>Беловское МУП ЖКХ</t>
  </si>
  <si>
    <t>5236002745</t>
  </si>
  <si>
    <t>26373435</t>
  </si>
  <si>
    <t>Белозеровское МУМППЖКХ</t>
  </si>
  <si>
    <t>5215000779</t>
  </si>
  <si>
    <t>30-06-2006 00:00:00</t>
  </si>
  <si>
    <t>26358261</t>
  </si>
  <si>
    <t>ГБУ "Понетаевский ПНИ"</t>
  </si>
  <si>
    <t>5238001923</t>
  </si>
  <si>
    <t>01-01-2008 00:00:00</t>
  </si>
  <si>
    <t>26358130</t>
  </si>
  <si>
    <t>Дубравское МУМППЖКХ</t>
  </si>
  <si>
    <t>5215000842</t>
  </si>
  <si>
    <t>31656238</t>
  </si>
  <si>
    <t>ЗАО "УМР-10"</t>
  </si>
  <si>
    <t>5247003902</t>
  </si>
  <si>
    <t>06-02-2023 00:00:00</t>
  </si>
  <si>
    <t>28-02-2023 00:00:00</t>
  </si>
  <si>
    <t>/ХВС/Производство/Техническая</t>
  </si>
  <si>
    <t>01-03-2023 00:00:00</t>
  </si>
  <si>
    <t>/ХВС/Транспортировка/Техническая :: /ХВС/Транспортировка/Питьевая</t>
  </si>
  <si>
    <t>26358258</t>
  </si>
  <si>
    <t>Катунское МУП ЖКХ</t>
  </si>
  <si>
    <t>5236004975</t>
  </si>
  <si>
    <t>26358155</t>
  </si>
  <si>
    <t>МКОУ "Краснобаковская  С(К)ШИ VIII вида"</t>
  </si>
  <si>
    <t>5219001678</t>
  </si>
  <si>
    <t>28-09-2011 00:00:00</t>
  </si>
  <si>
    <t>27577808</t>
  </si>
  <si>
    <t>МКП "Веткомхоз"</t>
  </si>
  <si>
    <t>5213005115</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</si>
  <si>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</si>
  <si>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</si>
  <si>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</si>
  <si>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</si>
  <si>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</si>
  <si>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</si>
  <si>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</si>
  <si>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</si>
  <si>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</si>
  <si>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</si>
  <si>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</si>
  <si>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</si>
  <si>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</si>
  <si>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</si>
  <si>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</si>
  <si>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</si>
  <si>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Питьевая</t>
  </si>
  <si>
    <t>/ХВС/Производство/Питьевая</t>
  </si>
  <si>
    <t>26373588</t>
  </si>
  <si>
    <t>5240003928</t>
  </si>
  <si>
    <t>524001001</t>
  </si>
  <si>
    <t>26373443</t>
  </si>
  <si>
    <t>МП "ДИВЕЕВСКОЕ ЖКХ"</t>
  </si>
  <si>
    <t>5216017133</t>
  </si>
  <si>
    <t>Питьевая :: Питьевая</t>
  </si>
  <si>
    <t>/ХВС/Сбыт/Питьевая :: /ХВС/Производство/Питьевая</t>
  </si>
  <si>
    <t>31020386</t>
  </si>
  <si>
    <t>МП КРАСНООКТЯБРЬСКОГО МО НО "КОММУНАЛЬНАЯ СЛУЖБА"</t>
  </si>
  <si>
    <t>5220007353</t>
  </si>
  <si>
    <t>522001001</t>
  </si>
  <si>
    <t>16-11-2016 00:00:00</t>
  </si>
  <si>
    <t>31332830</t>
  </si>
  <si>
    <t>МУМППЖКХ КУЖУТСКОЕ</t>
  </si>
  <si>
    <t>5215003498</t>
  </si>
  <si>
    <t>/ХВС/Транспортировка/Питьевая</t>
  </si>
  <si>
    <t>26373565</t>
  </si>
  <si>
    <t>МУП "Архангельское ЖКХ"</t>
  </si>
  <si>
    <t>5238005879</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</si>
  <si>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</si>
  <si>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</si>
  <si>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</si>
  <si>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</si>
  <si>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</si>
  <si>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</si>
  <si>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</si>
  <si>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</si>
  <si>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</si>
  <si>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/ХВС/Транспортировка/Питьевая :: /ХВС/Производство/Питьевая</t>
  </si>
  <si>
    <t>31089905</t>
  </si>
  <si>
    <t>МУП "ВОДОСНАБЖЕНИЕ"</t>
  </si>
  <si>
    <t>5207016750</t>
  </si>
  <si>
    <t>28-04-2018 00:00:00</t>
  </si>
  <si>
    <t>/ХВС/Сбыт/Питьевая</t>
  </si>
  <si>
    <t>31382274</t>
  </si>
  <si>
    <t>МУП "ВОСХОД-ЖКХ"</t>
  </si>
  <si>
    <t>5201001934</t>
  </si>
  <si>
    <t>31559074</t>
  </si>
  <si>
    <t>МУП "Ветлугаводоканал"</t>
  </si>
  <si>
    <t>5235008470</t>
  </si>
  <si>
    <t>26373633</t>
  </si>
  <si>
    <t>5250021348</t>
  </si>
  <si>
    <t>16-01-2015 00:00:00</t>
  </si>
  <si>
    <t>26373571</t>
  </si>
  <si>
    <t>МУП "Восход"</t>
  </si>
  <si>
    <t>5238005808</t>
  </si>
  <si>
    <t>26358264</t>
  </si>
  <si>
    <t>МУП "ГАРАНТ-ЖКХ"</t>
  </si>
  <si>
    <t>5238005477</t>
  </si>
  <si>
    <t>26373661</t>
  </si>
  <si>
    <t>МУП "Горводоканал"</t>
  </si>
  <si>
    <t>5254005971</t>
  </si>
  <si>
    <t>28447754</t>
  </si>
  <si>
    <t>МУП "Городской Водоканал"</t>
  </si>
  <si>
    <t>5250058789</t>
  </si>
  <si>
    <t>27371762</t>
  </si>
  <si>
    <t>МУП "Городской жилфонд"</t>
  </si>
  <si>
    <t>5226013748</t>
  </si>
  <si>
    <t>Техническая :: Питьевая :: Питьевая :: Питьевая</t>
  </si>
  <si>
    <t>/ХВС/Сбыт/Техническая :: /ХВС/Сбыт/Питьевая :: /ХВС/Транспортировка/Питьевая :: /ХВС/Производство/Питьевая</t>
  </si>
  <si>
    <t>26358327</t>
  </si>
  <si>
    <t>МУП "ЖКХ Смольковское"</t>
  </si>
  <si>
    <t>5248015650</t>
  </si>
  <si>
    <t>27571987</t>
  </si>
  <si>
    <t>МУП "Зубилихинское ЖКХ"</t>
  </si>
  <si>
    <t>5219382991</t>
  </si>
  <si>
    <t>31269985</t>
  </si>
  <si>
    <t>МУП "КОММУНСЕРВИС"</t>
  </si>
  <si>
    <t>5237003886</t>
  </si>
  <si>
    <t>31181219</t>
  </si>
  <si>
    <t>МУП "КУДЕЯРОВСКОЕ КОММУНАЛЬНОЕ ПРЕДПРИЯТИЕ"</t>
  </si>
  <si>
    <t>5221007010</t>
  </si>
  <si>
    <t>07-08-2023 00:00:00</t>
  </si>
  <si>
    <t>Питьевая :: Питьевая :: Питьевая :: Очистка</t>
  </si>
  <si>
    <t>/ХВС/Сбыт/Питьевая :: /ХВС/Транспортировка/Питьевая :: /ХВС/Производство/Питьевая :: /ХВС/Очистка</t>
  </si>
  <si>
    <t>26373446</t>
  </si>
  <si>
    <t>МУП "Княгининское ЖКХ"</t>
  </si>
  <si>
    <t>5217000037</t>
  </si>
  <si>
    <t>26373584</t>
  </si>
  <si>
    <t>МУП "Ком-сервис"</t>
  </si>
  <si>
    <t>5238005815</t>
  </si>
  <si>
    <t>26373510</t>
  </si>
  <si>
    <t>МУП "Коммунальщик"</t>
  </si>
  <si>
    <t>5226013184</t>
  </si>
  <si>
    <t>26373421</t>
  </si>
  <si>
    <t>МУП "Коммунсервис"</t>
  </si>
  <si>
    <t>5214000230</t>
  </si>
  <si>
    <t>31434482</t>
  </si>
  <si>
    <t>МУП "ЛУКОЯНОВВОДОКАНАЛ"</t>
  </si>
  <si>
    <t>5221007331</t>
  </si>
  <si>
    <t>/ХВС/Сбыт/Питьевая :: /ХВС/Транспортировка/Питьевая</t>
  </si>
  <si>
    <t>26358266</t>
  </si>
  <si>
    <t>МУП "ПРАКТИК"</t>
  </si>
  <si>
    <t>5238005533</t>
  </si>
  <si>
    <t>26373647</t>
  </si>
  <si>
    <t>МУП "Райводоканал"</t>
  </si>
  <si>
    <t>5251007667</t>
  </si>
  <si>
    <t>16-11-2001 00:00:00</t>
  </si>
  <si>
    <t>26358226</t>
  </si>
  <si>
    <t>МУП "СПАССКОЕ ЖКХ"</t>
  </si>
  <si>
    <t>5232002977</t>
  </si>
  <si>
    <t>26358268</t>
  </si>
  <si>
    <t>МУП "Смирновец"</t>
  </si>
  <si>
    <t>5238005558</t>
  </si>
  <si>
    <t>26358267</t>
  </si>
  <si>
    <t>МУП "Теплосети"</t>
  </si>
  <si>
    <t>5238005540</t>
  </si>
  <si>
    <t>26373596</t>
  </si>
  <si>
    <t>МУП "УВКХ"</t>
  </si>
  <si>
    <t>5245013020</t>
  </si>
  <si>
    <t>31566194</t>
  </si>
  <si>
    <t>МУП "УРЕНСКИЕ ТЕПЛОВЫЕ СЕТИ" УРЕНСКОГО МУНИЦИПАЛЬНОГО ОКРУГА НИЖЕГОРОДСКОЙ ОБЛАСТИ</t>
  </si>
  <si>
    <t>5235006634</t>
  </si>
  <si>
    <t>25-10-2016 00:00:00</t>
  </si>
  <si>
    <t>27571975</t>
  </si>
  <si>
    <t>МУП "Шеманихинское ЖКХ"</t>
  </si>
  <si>
    <t>5219383106</t>
  </si>
  <si>
    <t>31082135</t>
  </si>
  <si>
    <t>МУП "ЮГАНЕЦКОЕ"</t>
  </si>
  <si>
    <t>5214011834</t>
  </si>
  <si>
    <t>02-01-2023 00:00:00</t>
  </si>
  <si>
    <t>19-05-2023 00:00:00</t>
  </si>
  <si>
    <t>26555489</t>
  </si>
  <si>
    <t>МУП ЖКХ "Тепелевское"</t>
  </si>
  <si>
    <t>5215001797</t>
  </si>
  <si>
    <t>13-10-2009 00:00:00</t>
  </si>
  <si>
    <t>26358092</t>
  </si>
  <si>
    <t>МУП ЖКХ Холязинского сельсовета</t>
  </si>
  <si>
    <t>5204003070</t>
  </si>
  <si>
    <t>26552080</t>
  </si>
  <si>
    <t>МУП ЖКХ р.п. Красные Баки</t>
  </si>
  <si>
    <t>5219382342</t>
  </si>
  <si>
    <t>04-07-2007 00:00:00</t>
  </si>
  <si>
    <t>26373600</t>
  </si>
  <si>
    <t>МУП п. Буревестник</t>
  </si>
  <si>
    <t>5245012411</t>
  </si>
  <si>
    <t>31490079</t>
  </si>
  <si>
    <t>МУП"БУТУРЛИНОПАССАЖИРАВТОТРАНС"</t>
  </si>
  <si>
    <t>5205004615</t>
  </si>
  <si>
    <t>Питьевая :: Техническая :: Питьевая</t>
  </si>
  <si>
    <t>/ХВС/Сбыт/Питьевая :: /ХВС/Транспортировка/Техническая :: /ХВС/Производство/Питьевая</t>
  </si>
  <si>
    <t>26358129</t>
  </si>
  <si>
    <t>Малопицкое МУМППЖКХ</t>
  </si>
  <si>
    <t>5215000761</t>
  </si>
  <si>
    <t>29-06-2006 00:00:00</t>
  </si>
  <si>
    <t>26358124</t>
  </si>
  <si>
    <t>Нижегородское МУМППЖКХ</t>
  </si>
  <si>
    <t>5215000391</t>
  </si>
  <si>
    <t>27367624</t>
  </si>
  <si>
    <t>ОАО "Агрофирма "Птицефабрика Сеймовская"</t>
  </si>
  <si>
    <t>5214002050</t>
  </si>
  <si>
    <t>Техническая :: Питьевая :: Техническая :: Питьевая :: Техническая :: Питьевая</t>
  </si>
  <si>
    <t>/ХВС/Сбыт/Техническая :: /ХВС/Сбыт/Питьевая :: /ХВС/Транспортировка/Техническая :: /ХВС/Транспортировка/Питьевая :: /ХВС/Производство/Техническая :: /ХВС/Производство/Питьевая</t>
  </si>
  <si>
    <t>26358321</t>
  </si>
  <si>
    <t>ОАО "ПАНСИОНАТ "БУРЕВЕСТНИК"</t>
  </si>
  <si>
    <t>5248005892</t>
  </si>
  <si>
    <t>26373589</t>
  </si>
  <si>
    <t>ООО "АРЗАМАССКИЙ ВОДОКАНАЛ"</t>
  </si>
  <si>
    <t>5243027892</t>
  </si>
  <si>
    <t>24-02-2010 00:00:00</t>
  </si>
  <si>
    <t>26758117</t>
  </si>
  <si>
    <t>ООО "АкваКом"</t>
  </si>
  <si>
    <t>5228056218</t>
  </si>
  <si>
    <t>31-01-2011 00:00:00</t>
  </si>
  <si>
    <t>28001435</t>
  </si>
  <si>
    <t>ООО "ВИКОМ"</t>
  </si>
  <si>
    <t>5210000334</t>
  </si>
  <si>
    <t>521001001</t>
  </si>
  <si>
    <t>31457245</t>
  </si>
  <si>
    <t>ООО "ВЫБОР СТРОЙ НН"</t>
  </si>
  <si>
    <t>5245025241</t>
  </si>
  <si>
    <t>26555487</t>
  </si>
  <si>
    <t>ООО "ВоСток-ДК"</t>
  </si>
  <si>
    <t>5215001638</t>
  </si>
  <si>
    <t>31166843</t>
  </si>
  <si>
    <t>ООО "Водоканал"</t>
  </si>
  <si>
    <t>5221007099</t>
  </si>
  <si>
    <t>27-07-2023 00:00:00</t>
  </si>
  <si>
    <t>26373608</t>
  </si>
  <si>
    <t>5247003099</t>
  </si>
  <si>
    <t>17-12-2019 00:00:00</t>
  </si>
  <si>
    <t>03-02-2023 00:00:00</t>
  </si>
  <si>
    <t>31448393</t>
  </si>
  <si>
    <t>ООО "ДВК ИЛЬИНОГОРСКИЙ"</t>
  </si>
  <si>
    <t>7203492777</t>
  </si>
  <si>
    <t>720301001</t>
  </si>
  <si>
    <t>26373659</t>
  </si>
  <si>
    <t>ООО "ЖКХ Ярымово"</t>
  </si>
  <si>
    <t>5252022562</t>
  </si>
  <si>
    <t>31205498</t>
  </si>
  <si>
    <t>ООО "ЗАГОРОДНАЯ СЕРВИСНАЯ СЛУЖБА"</t>
  </si>
  <si>
    <t>5245018396</t>
  </si>
  <si>
    <t>26562570</t>
  </si>
  <si>
    <t>ООО "Заводские сети"</t>
  </si>
  <si>
    <t>5256049340</t>
  </si>
  <si>
    <t>16-09-2010 00:00:00</t>
  </si>
  <si>
    <t>31434354</t>
  </si>
  <si>
    <t>ООО "ИНЖЕНЕРНЫЕ СЕТИ-ОРГСТЕКЛО"</t>
  </si>
  <si>
    <t>5249171412</t>
  </si>
  <si>
    <t>31-12-2021 00:00:00</t>
  </si>
  <si>
    <t>27566780</t>
  </si>
  <si>
    <t>ООО "Коммунальщик"</t>
  </si>
  <si>
    <t>5245017794</t>
  </si>
  <si>
    <t>29-08-2023 00:00:00</t>
  </si>
  <si>
    <t>27634860</t>
  </si>
  <si>
    <t>5260262462</t>
  </si>
  <si>
    <t>01-10-2012 00:00:00</t>
  </si>
  <si>
    <t>27886941</t>
  </si>
  <si>
    <t>ООО "Кузьмиярское"</t>
  </si>
  <si>
    <t>5211759413</t>
  </si>
  <si>
    <t>26795557</t>
  </si>
  <si>
    <t>ООО "Локал-Клининг"</t>
  </si>
  <si>
    <t>5248023556</t>
  </si>
  <si>
    <t>31322304</t>
  </si>
  <si>
    <t>ООО "Нижегородские технологии водопользования"</t>
  </si>
  <si>
    <t>5262360049</t>
  </si>
  <si>
    <t>26358215</t>
  </si>
  <si>
    <t>ООО "Пожарки"</t>
  </si>
  <si>
    <t>5229007238</t>
  </si>
  <si>
    <t>03-10-2006 00:00:00</t>
  </si>
  <si>
    <t>Подвоз воды :: Питьевая</t>
  </si>
  <si>
    <t>/ХВС/Подвоз воды :: /ХВС/Транспортировка/Питьевая</t>
  </si>
  <si>
    <t>31187885</t>
  </si>
  <si>
    <t>ООО "РАЙВОДОКАНАЛ"</t>
  </si>
  <si>
    <t>5243037996</t>
  </si>
  <si>
    <t>28985128</t>
  </si>
  <si>
    <t>ООО "РВК"</t>
  </si>
  <si>
    <t>5249135284</t>
  </si>
  <si>
    <t>01-09-2014 00:00:00</t>
  </si>
  <si>
    <t>30949304</t>
  </si>
  <si>
    <t>ООО "РДУ"</t>
  </si>
  <si>
    <t>5249122133</t>
  </si>
  <si>
    <t>26570488</t>
  </si>
  <si>
    <t>ООО "Райводоканал"</t>
  </si>
  <si>
    <t>5201030090</t>
  </si>
  <si>
    <t>12-01-2009 00:00:00</t>
  </si>
  <si>
    <t>26650748</t>
  </si>
  <si>
    <t>ООО "РегионРесурс"</t>
  </si>
  <si>
    <t>5252023559</t>
  </si>
  <si>
    <t>31560142</t>
  </si>
  <si>
    <t>ООО "ТРАНЗИТ РВ"</t>
  </si>
  <si>
    <t>5249175449</t>
  </si>
  <si>
    <t>01-04-2022 00:00:00</t>
  </si>
  <si>
    <t>/ХВС/Транспортировка/Техническая</t>
  </si>
  <si>
    <t>31354953</t>
  </si>
  <si>
    <t>ООО "УК "КОМИНТЕРН"</t>
  </si>
  <si>
    <t>5214013704</t>
  </si>
  <si>
    <t>31249802</t>
  </si>
  <si>
    <t>ООО "УК ВОДНИК"</t>
  </si>
  <si>
    <t>5227002227</t>
  </si>
  <si>
    <t>31460120</t>
  </si>
  <si>
    <t>ООО "ЭКСПРЕСС"</t>
  </si>
  <si>
    <t>5260130850</t>
  </si>
  <si>
    <t>01-09-2021 00:00:00</t>
  </si>
  <si>
    <t>Техническая :: Техническая :: Очистка</t>
  </si>
  <si>
    <t>/ХВС/Транспортировка/Техническая :: /ХВС/Производство/Техническая :: /ХВС/Очистка</t>
  </si>
  <si>
    <t>27673406</t>
  </si>
  <si>
    <t>ООО "Экоин - НОРСИ"</t>
  </si>
  <si>
    <t>5250038535</t>
  </si>
  <si>
    <t>31418831</t>
  </si>
  <si>
    <t>ООО"ВКС"</t>
  </si>
  <si>
    <t>5210002099</t>
  </si>
  <si>
    <t>17-10-2022 00:00:00</t>
  </si>
  <si>
    <t>26555480</t>
  </si>
  <si>
    <t>СПК "Колхоз Искра"</t>
  </si>
  <si>
    <t>5245023484</t>
  </si>
  <si>
    <t>26358126</t>
  </si>
  <si>
    <t>Сарлейское МУМППЖКХ</t>
  </si>
  <si>
    <t>5215000507</t>
  </si>
  <si>
    <t>24-03-2006 00:00:00</t>
  </si>
  <si>
    <t>26373561</t>
  </si>
  <si>
    <t>Соломатовское МУП ЖКХ</t>
  </si>
  <si>
    <t>5236006683</t>
  </si>
  <si>
    <t>Техническая :: Питьевая :: Питьевая :: Техническая :: Питьевая</t>
  </si>
  <si>
    <t>/ХВС/Сбыт/Техническая :: /ХВС/Сбыт/Питьевая :: /ХВС/Транспортировка/Питьевая :: /ХВС/Производство/Техническая :: /ХВС/Производство/Питьевая</t>
  </si>
  <si>
    <t>30870050</t>
  </si>
  <si>
    <t>ФКУ ИК-4 ГУФСИН РОССИИ ПО НИЖЕГОРОДСКОЙ ОБЛАСТИ</t>
  </si>
  <si>
    <t>5234002482</t>
  </si>
  <si>
    <t>Оказание услуг в сфере водоотведения и очистки сточных вод</t>
  </si>
  <si>
    <t>Прием сточных вод :: Очистка сточных вод :: Транспортировка сточных вод</t>
  </si>
  <si>
    <t>/ВО/Прием сточных вод :: /ВО/Очистка сточных вод :: /ВО/Транспортировка сточных вод</t>
  </si>
  <si>
    <t>26358301</t>
  </si>
  <si>
    <t>АО "Борская фабрика ПОШ"</t>
  </si>
  <si>
    <t>5246000458</t>
  </si>
  <si>
    <t>01-04-2018 00:00:00</t>
  </si>
  <si>
    <t>Оказание услуг по перекачке</t>
  </si>
  <si>
    <t>Транспортировка сточных вод</t>
  </si>
  <si>
    <t>/ВО/Транспортировка сточных вод</t>
  </si>
  <si>
    <t>26646756</t>
  </si>
  <si>
    <t>АО "Зефс Услуги"</t>
  </si>
  <si>
    <t>5258050742</t>
  </si>
  <si>
    <t>13-01-2011 00:00:00</t>
  </si>
  <si>
    <t>01-08-2021 00:00:00</t>
  </si>
  <si>
    <t>26380704</t>
  </si>
  <si>
    <t>АО "ПО" ГОРИЗОНТ"</t>
  </si>
  <si>
    <t>5252000417</t>
  </si>
  <si>
    <t>08-06-2016 00:00:00</t>
  </si>
  <si>
    <t>28954052</t>
  </si>
  <si>
    <t>АО "САПТ"</t>
  </si>
  <si>
    <t>5231000751</t>
  </si>
  <si>
    <t>Оказание услуг в сфере очистки сточных вод</t>
  </si>
  <si>
    <t>Очистка сточных вод</t>
  </si>
  <si>
    <t>/ВО/Очистка сточных вод</t>
  </si>
  <si>
    <t>Оказание услуг в сфере водоотведения</t>
  </si>
  <si>
    <t>Прием сточных вод :: Транспортировка сточных вод</t>
  </si>
  <si>
    <t>/ВО/Прием сточных вод :: /ВО/Транспортировка сточных вод</t>
  </si>
  <si>
    <t>28053932</t>
  </si>
  <si>
    <t>ИП Фуфина Н.В.</t>
  </si>
  <si>
    <t>524400027272</t>
  </si>
  <si>
    <t>26557167</t>
  </si>
  <si>
    <t>МП "Горводоканал"</t>
  </si>
  <si>
    <t>5228009994</t>
  </si>
  <si>
    <t>18-08-2010 00:00:00</t>
  </si>
  <si>
    <t>31250368</t>
  </si>
  <si>
    <t>МП "КАНСТОК"</t>
  </si>
  <si>
    <t>5251011159</t>
  </si>
  <si>
    <t>01-02-2019 00:00:00</t>
  </si>
  <si>
    <t>01-10-2023 00:00:00</t>
  </si>
  <si>
    <t>31-12-2028 00:00:00</t>
  </si>
  <si>
    <t>26557653</t>
  </si>
  <si>
    <t>МУП "БОС"</t>
  </si>
  <si>
    <t>5222005009</t>
  </si>
  <si>
    <t>Прием сточных вод :: Очистка сточных вод</t>
  </si>
  <si>
    <t>/ВО/Прием сточных вод :: /ВО/Очистка сточных вод</t>
  </si>
  <si>
    <t>Очистка сточных вод :: Транспортировка сточных вод</t>
  </si>
  <si>
    <t>/ВО/Очистка сточных вод :: /ВО/Транспортировка сточных вод</t>
  </si>
  <si>
    <t>31689563</t>
  </si>
  <si>
    <t>МУП "ВОДОСТОК"</t>
  </si>
  <si>
    <t>5254497040</t>
  </si>
  <si>
    <t>24-08-2023 00:00:00</t>
  </si>
  <si>
    <t>01-04-2021 00:00:00</t>
  </si>
  <si>
    <t>Прием сточных вод</t>
  </si>
  <si>
    <t>/ВО/Прием сточных вод</t>
  </si>
  <si>
    <t>31461650</t>
  </si>
  <si>
    <t>ОАО "БОРСКАЯ ФАБРИКА ВАЛЯНОЙ ОБУВИ"</t>
  </si>
  <si>
    <t>5246006019</t>
  </si>
  <si>
    <t>01-12-2020 00:00:00</t>
  </si>
  <si>
    <t>26358337</t>
  </si>
  <si>
    <t>ОАО "Дизель"</t>
  </si>
  <si>
    <t>5249012839</t>
  </si>
  <si>
    <t>31029548</t>
  </si>
  <si>
    <t>ООО "АКВА"</t>
  </si>
  <si>
    <t>5260445280</t>
  </si>
  <si>
    <t>14-07-2017 00:00:00</t>
  </si>
  <si>
    <t>26555455</t>
  </si>
  <si>
    <t>ООО "БАЗ"</t>
  </si>
  <si>
    <t>5246046131</t>
  </si>
  <si>
    <t>31341460</t>
  </si>
  <si>
    <t>ООО "БИОТЕХСЕРВИС"</t>
  </si>
  <si>
    <t>5244031860</t>
  </si>
  <si>
    <t>27-11-2019 00:00:00</t>
  </si>
  <si>
    <t>31322308</t>
  </si>
  <si>
    <t>ООО "НЕМЕКО ГРАНД"</t>
  </si>
  <si>
    <t>5262293586</t>
  </si>
  <si>
    <t>31490086</t>
  </si>
  <si>
    <t>ООО "СТРОЙСЕРВИС"</t>
  </si>
  <si>
    <t>5223035077</t>
  </si>
  <si>
    <t>30982795</t>
  </si>
  <si>
    <t>ООО "УК "Сетка-Центр"</t>
  </si>
  <si>
    <t>5249143408</t>
  </si>
  <si>
    <t>26555460</t>
  </si>
  <si>
    <t>ПАО "МИЗ им. М.Горького"</t>
  </si>
  <si>
    <t>5252000488</t>
  </si>
  <si>
    <t>26358358</t>
  </si>
  <si>
    <t>ПАО "РУСПОЛИМЕТ"</t>
  </si>
  <si>
    <t>5251008501</t>
  </si>
  <si>
    <t>27577541</t>
  </si>
  <si>
    <t>ФКУ ИК-14 ГУФСИН РОССИИ ПО НИЖЕГОРОДСКОЙ ОБЛАСТИ</t>
  </si>
  <si>
    <t>5228007193</t>
  </si>
  <si>
    <t>16-01-2012 00:00:00</t>
  </si>
  <si>
    <t>26358372</t>
  </si>
  <si>
    <t>ФКУЗ "САНАТОРИЙ "ГОРБАТОВ" МВД РОССИИ"</t>
  </si>
  <si>
    <t>5252007589</t>
  </si>
  <si>
    <t>01-08-2022 00:00:00</t>
  </si>
  <si>
    <t>28073128</t>
  </si>
  <si>
    <t>АО «СИТИМАТИК - НИЖНИЙ НОВГОРОД»</t>
  </si>
  <si>
    <t>5260278039</t>
  </si>
  <si>
    <t>/ТКО/Оказание услуги по обращению с твердыми коммунальными отходами региональным оператором</t>
  </si>
  <si>
    <t>Оказание услуги по обращению с твердыми коммунальными отходами региональным оператором :: Захоронение твердых коммунальных отходов</t>
  </si>
  <si>
    <t>/ТКО/Оказание услуги по обращению с твердыми коммунальными отходами региональным оператором :: /ТКО/Захоронение твердых коммунальных отходов</t>
  </si>
  <si>
    <t>26555505</t>
  </si>
  <si>
    <t>ООО "АГЖО-Сергач"</t>
  </si>
  <si>
    <t>5229007862</t>
  </si>
  <si>
    <t>/ТКО/Захоронение твердых коммунальных отходов</t>
  </si>
  <si>
    <t>26951747</t>
  </si>
  <si>
    <t>ООО "МАГ Груп"</t>
  </si>
  <si>
    <t>5258084318</t>
  </si>
  <si>
    <t>13-10-2017 00:00:00</t>
  </si>
  <si>
    <t>Обработка твердых коммунальных отходов :: Захоронение твердых коммунальных отходов</t>
  </si>
  <si>
    <t>/ТКО/Обработка твердых коммунальных отходов :: /ТКО/Захоронение твердых коммунальных отходов</t>
  </si>
  <si>
    <t>31151349</t>
  </si>
  <si>
    <t>ООО "МСК-НТ"</t>
  </si>
  <si>
    <t>7734699480</t>
  </si>
  <si>
    <t>773401001</t>
  </si>
  <si>
    <t>16-04-2013 00:00:00</t>
  </si>
  <si>
    <t>31695868</t>
  </si>
  <si>
    <t>ООО "НАСТ"</t>
  </si>
  <si>
    <t>5257084971</t>
  </si>
  <si>
    <t>04-07-2016 00:00:00</t>
  </si>
  <si>
    <t>Транспортирование твердых коммунальных отходов</t>
  </si>
  <si>
    <t>/ТКО/Транспортирование твердых коммунальных отходов</t>
  </si>
  <si>
    <t>31232663</t>
  </si>
  <si>
    <t>ООО "НИЖЭКОЛОГИЯ-НН"</t>
  </si>
  <si>
    <t>5261098663</t>
  </si>
  <si>
    <t>30421267</t>
  </si>
  <si>
    <t>ООО "ОРБ НИЖНИЙ"</t>
  </si>
  <si>
    <t>5256068455</t>
  </si>
  <si>
    <t>31342143</t>
  </si>
  <si>
    <t>ООО "ОРБ Нижний" Канавинский филиал</t>
  </si>
  <si>
    <t>526243001</t>
  </si>
  <si>
    <t>30813929</t>
  </si>
  <si>
    <t>ООО "РЕАЛ-КСТОВО"</t>
  </si>
  <si>
    <t>5250063394</t>
  </si>
  <si>
    <t>Оказание услуги по обращению с твердыми коммунальными отходами региональным оператором :: Обработка твердых коммунальных отходов :: Захоронение твердых коммунальных отходов</t>
  </si>
  <si>
    <t>/ТКО/Оказание услуги по обращению с твердыми коммунальными отходами региональным оператором :: /ТКО/Обработка твердых коммунальных отходов :: /ТКО/Захоронение твердых коммунальных отходов</t>
  </si>
  <si>
    <t>31696026</t>
  </si>
  <si>
    <t>ООО "РЭП 2"</t>
  </si>
  <si>
    <t>5261038449</t>
  </si>
  <si>
    <t>01-09-2023 00:00:00</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</si>
  <si>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</si>
  <si>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</si>
  <si>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</si>
  <si>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</si>
  <si>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</si>
  <si>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</si>
  <si>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</si>
  <si>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</si>
  <si>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</si>
  <si>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</si>
  <si>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</si>
  <si>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</si>
  <si>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22-06-2023 00:00:00</t>
  </si>
  <si>
    <t>31163388</t>
  </si>
  <si>
    <t>ООО "ЭКОСТАНДАРТ"</t>
  </si>
  <si>
    <t>7840024031</t>
  </si>
  <si>
    <t>26-02-2015 00:00:00</t>
  </si>
  <si>
    <t>NSRF</t>
  </si>
  <si>
    <t>MR_NAME</t>
  </si>
  <si>
    <t>OKTMO_MR_NAME</t>
  </si>
  <si>
    <t>MO_NAME</t>
  </si>
  <si>
    <t>OKTMO_NAME</t>
  </si>
  <si>
    <t>TYPE</t>
  </si>
  <si>
    <t>MR_ID</t>
  </si>
  <si>
    <t>Ардатовский муниципальный округ</t>
  </si>
  <si>
    <t>22502000</t>
  </si>
  <si>
    <t>муниципальный округ</t>
  </si>
  <si>
    <t>Ардатовский муниципальный район</t>
  </si>
  <si>
    <t>22602000</t>
  </si>
  <si>
    <t>муниципальный район</t>
  </si>
  <si>
    <t>Кужендеевский сельсовет</t>
  </si>
  <si>
    <t>22602424</t>
  </si>
  <si>
    <t>сельское поселение</t>
  </si>
  <si>
    <t>Личадеевский сельсовет</t>
  </si>
  <si>
    <t>22602428</t>
  </si>
  <si>
    <t>Михеевский сельсовет</t>
  </si>
  <si>
    <t>22602432</t>
  </si>
  <si>
    <t>Рабочий поселок Ардатов</t>
  </si>
  <si>
    <t>22602151</t>
  </si>
  <si>
    <t>городское поселение, в состав которого входит поселок</t>
  </si>
  <si>
    <t>Рабочий поселок Мухтолово</t>
  </si>
  <si>
    <t>22602155</t>
  </si>
  <si>
    <t>Саконский сельсовет</t>
  </si>
  <si>
    <t>22602436</t>
  </si>
  <si>
    <t>Стексовский сельсовет</t>
  </si>
  <si>
    <t>22602440</t>
  </si>
  <si>
    <t>Хрипуновский сельсовет</t>
  </si>
  <si>
    <t>22602444</t>
  </si>
  <si>
    <t>Чуварлей-Майданский сельсовет</t>
  </si>
  <si>
    <t>22602448</t>
  </si>
  <si>
    <t>Арзамасский муниципальный район</t>
  </si>
  <si>
    <t>22603000</t>
  </si>
  <si>
    <t>Абрамовский сельсовет</t>
  </si>
  <si>
    <t>22603404</t>
  </si>
  <si>
    <t>Балахонихинский сельсовет</t>
  </si>
  <si>
    <t>22603408</t>
  </si>
  <si>
    <t>Бебяевский сельсовет</t>
  </si>
  <si>
    <t>22603456</t>
  </si>
  <si>
    <t>Березовский сельсовет</t>
  </si>
  <si>
    <t>22603410</t>
  </si>
  <si>
    <t>Большетумановский сельсовет</t>
  </si>
  <si>
    <t>22603412</t>
  </si>
  <si>
    <t>Кирилловский сельсовет</t>
  </si>
  <si>
    <t>22603424</t>
  </si>
  <si>
    <t>Красносельский сельсовет</t>
  </si>
  <si>
    <t>22603432</t>
  </si>
  <si>
    <t>Ломовский сельсовет</t>
  </si>
  <si>
    <t>22603440</t>
  </si>
  <si>
    <t>Новоусадский сельсовет</t>
  </si>
  <si>
    <t>22603452</t>
  </si>
  <si>
    <t>Рабочий поселок Выездное</t>
  </si>
  <si>
    <t>22603155</t>
  </si>
  <si>
    <t>Слизневский сельсовет</t>
  </si>
  <si>
    <t>22603472</t>
  </si>
  <si>
    <t>Чернухинский сельсовет</t>
  </si>
  <si>
    <t>22603476</t>
  </si>
  <si>
    <t>Шатовский сельсовет</t>
  </si>
  <si>
    <t>22603480</t>
  </si>
  <si>
    <t>Балахнинский муниципальный округ</t>
  </si>
  <si>
    <t>22505000</t>
  </si>
  <si>
    <t>Балахнинский муниципальный район</t>
  </si>
  <si>
    <t>22605000</t>
  </si>
  <si>
    <t>Город Балахна</t>
  </si>
  <si>
    <t>22605101</t>
  </si>
  <si>
    <t>городское поселение, в состав которого входит город</t>
  </si>
  <si>
    <t>Коневский сельсовет</t>
  </si>
  <si>
    <t>22605408</t>
  </si>
  <si>
    <t>Кочергинский сельсовет</t>
  </si>
  <si>
    <t>22605412</t>
  </si>
  <si>
    <t>Рабочий поселок Большое Козино</t>
  </si>
  <si>
    <t>22605153</t>
  </si>
  <si>
    <t>Рабочий поселок Гидроторф</t>
  </si>
  <si>
    <t>22605155</t>
  </si>
  <si>
    <t>Рабочий поселок Малое Козино</t>
  </si>
  <si>
    <t>22605158</t>
  </si>
  <si>
    <t>Шеляуховский сельсовет</t>
  </si>
  <si>
    <t>22605416</t>
  </si>
  <si>
    <t>Богородский муниципальный округ</t>
  </si>
  <si>
    <t>22507000</t>
  </si>
  <si>
    <t>Богородский муниципальный район</t>
  </si>
  <si>
    <t>22607000</t>
  </si>
  <si>
    <t>Алешковский сельсовет</t>
  </si>
  <si>
    <t>22607404</t>
  </si>
  <si>
    <t>Город Богородск</t>
  </si>
  <si>
    <t>22607101</t>
  </si>
  <si>
    <t>Доскинский сельсовет</t>
  </si>
  <si>
    <t>22607416</t>
  </si>
  <si>
    <t>Дуденевский сельсовет</t>
  </si>
  <si>
    <t>22607420</t>
  </si>
  <si>
    <t>Каменский сельсовет</t>
  </si>
  <si>
    <t>22607428</t>
  </si>
  <si>
    <t>Новинский сельсовет</t>
  </si>
  <si>
    <t>22607436</t>
  </si>
  <si>
    <t>Хвощевский сельсовет</t>
  </si>
  <si>
    <t>22607444</t>
  </si>
  <si>
    <t>Шапкинский сельсовет</t>
  </si>
  <si>
    <t>22607448</t>
  </si>
  <si>
    <t>Большеболдинский муниципальный округ</t>
  </si>
  <si>
    <t>22509000</t>
  </si>
  <si>
    <t>Большеболдинский муниципальный район</t>
  </si>
  <si>
    <t>22609000</t>
  </si>
  <si>
    <t>Большеболдинский сельсовет</t>
  </si>
  <si>
    <t>22609404</t>
  </si>
  <si>
    <t>Молчановский сельсовет</t>
  </si>
  <si>
    <t>22609416</t>
  </si>
  <si>
    <t>Новослободской сельсовет</t>
  </si>
  <si>
    <t>22609420</t>
  </si>
  <si>
    <t>Пермеевский сельсовет</t>
  </si>
  <si>
    <t>22609422</t>
  </si>
  <si>
    <t>Пикшенский сельсовет</t>
  </si>
  <si>
    <t>22609424</t>
  </si>
  <si>
    <t>Черновский сельсовет</t>
  </si>
  <si>
    <t>22609432</t>
  </si>
  <si>
    <t>Большемурашкинский муниципальный округ</t>
  </si>
  <si>
    <t>22510000</t>
  </si>
  <si>
    <t>Большемурашкинский муниципальный район</t>
  </si>
  <si>
    <t>22610000</t>
  </si>
  <si>
    <t>Григоровский сельсовет</t>
  </si>
  <si>
    <t>22610408</t>
  </si>
  <si>
    <t>Рабочий поселок Большое Мурашкино</t>
  </si>
  <si>
    <t>22610151</t>
  </si>
  <si>
    <t>Советский сельсовет</t>
  </si>
  <si>
    <t>22610404</t>
  </si>
  <si>
    <t>Холязинский сельсовет</t>
  </si>
  <si>
    <t>22610428</t>
  </si>
  <si>
    <t>Бутурлинский муниципальный округ</t>
  </si>
  <si>
    <t>22512000</t>
  </si>
  <si>
    <t>Бутурлинский муниципальный район</t>
  </si>
  <si>
    <t>22612000</t>
  </si>
  <si>
    <t>Большебакалдский сельсовет</t>
  </si>
  <si>
    <t>22612404</t>
  </si>
  <si>
    <t>60</t>
  </si>
  <si>
    <t>61</t>
  </si>
  <si>
    <t>Каменищенский сельсовет</t>
  </si>
  <si>
    <t>22612412</t>
  </si>
  <si>
    <t>62</t>
  </si>
  <si>
    <t>Кочуновский сельсовет</t>
  </si>
  <si>
    <t>22612420</t>
  </si>
  <si>
    <t>63</t>
  </si>
  <si>
    <t>Рабочий поселок Бутурлино</t>
  </si>
  <si>
    <t>22612151</t>
  </si>
  <si>
    <t>64</t>
  </si>
  <si>
    <t>Уваровский сельсовет</t>
  </si>
  <si>
    <t>22612428</t>
  </si>
  <si>
    <t>65</t>
  </si>
  <si>
    <t>Ягубовский сельсовет</t>
  </si>
  <si>
    <t>22612432</t>
  </si>
  <si>
    <t>Вадский муниципальный округ</t>
  </si>
  <si>
    <t>22514000</t>
  </si>
  <si>
    <t>67</t>
  </si>
  <si>
    <t>Вадский муниципальный район</t>
  </si>
  <si>
    <t>22614000</t>
  </si>
  <si>
    <t>Вадский сельсовет</t>
  </si>
  <si>
    <t>22614404</t>
  </si>
  <si>
    <t>69</t>
  </si>
  <si>
    <t>Дубенский сельсовет</t>
  </si>
  <si>
    <t>22614408</t>
  </si>
  <si>
    <t>70</t>
  </si>
  <si>
    <t>Круто-Майданский сельсовет</t>
  </si>
  <si>
    <t>22614416</t>
  </si>
  <si>
    <t>71</t>
  </si>
  <si>
    <t>Лопатинский сельсовет</t>
  </si>
  <si>
    <t>22614420</t>
  </si>
  <si>
    <t>72</t>
  </si>
  <si>
    <t>Новомирский сельсовет</t>
  </si>
  <si>
    <t>22614424</t>
  </si>
  <si>
    <t>73</t>
  </si>
  <si>
    <t>Стрельский сельсовет</t>
  </si>
  <si>
    <t>22614432</t>
  </si>
  <si>
    <t>74</t>
  </si>
  <si>
    <t>Варнавинский муниципальный округ</t>
  </si>
  <si>
    <t>22515000</t>
  </si>
  <si>
    <t>75</t>
  </si>
  <si>
    <t>Варнавинский муниципальный район</t>
  </si>
  <si>
    <t>22615000</t>
  </si>
  <si>
    <t>Богородский сельсовет</t>
  </si>
  <si>
    <t>22615420</t>
  </si>
  <si>
    <t>76</t>
  </si>
  <si>
    <t>77</t>
  </si>
  <si>
    <t>Восходовский сельсовет</t>
  </si>
  <si>
    <t>22615406</t>
  </si>
  <si>
    <t>78</t>
  </si>
  <si>
    <t>Михаленинский сельсовет</t>
  </si>
  <si>
    <t>22615416</t>
  </si>
  <si>
    <t>79</t>
  </si>
  <si>
    <t>Рабочий поселок Варнавино</t>
  </si>
  <si>
    <t>22615151</t>
  </si>
  <si>
    <t>80</t>
  </si>
  <si>
    <t>Северный сельсовет</t>
  </si>
  <si>
    <t>22615428</t>
  </si>
  <si>
    <t>81</t>
  </si>
  <si>
    <t>Шудский сельсовет</t>
  </si>
  <si>
    <t>22615430</t>
  </si>
  <si>
    <t>82</t>
  </si>
  <si>
    <t>Вачский муниципальный округ</t>
  </si>
  <si>
    <t>22517000</t>
  </si>
  <si>
    <t>83</t>
  </si>
  <si>
    <t>Вачский муниципальный район</t>
  </si>
  <si>
    <t>22617000</t>
  </si>
  <si>
    <t>Арефинский сельсовет</t>
  </si>
  <si>
    <t>22617408</t>
  </si>
  <si>
    <t>84</t>
  </si>
  <si>
    <t>85</t>
  </si>
  <si>
    <t>Казаковский сельсовет</t>
  </si>
  <si>
    <t>22617424</t>
  </si>
  <si>
    <t>86</t>
  </si>
  <si>
    <t>Новосельский сельсовет</t>
  </si>
  <si>
    <t>22617432</t>
  </si>
  <si>
    <t>87</t>
  </si>
  <si>
    <t>Рабочий поселок Вача</t>
  </si>
  <si>
    <t>22617151</t>
  </si>
  <si>
    <t>88</t>
  </si>
  <si>
    <t>Филинский сельсовет</t>
  </si>
  <si>
    <t>22617436</t>
  </si>
  <si>
    <t>89</t>
  </si>
  <si>
    <t>Чулковский сельсовет</t>
  </si>
  <si>
    <t>22617440</t>
  </si>
  <si>
    <t>90</t>
  </si>
  <si>
    <t>Ветлужский муниципальный округ</t>
  </si>
  <si>
    <t>22518000</t>
  </si>
  <si>
    <t>91</t>
  </si>
  <si>
    <t>Ветлужский муниципальный район</t>
  </si>
  <si>
    <t>22618000</t>
  </si>
  <si>
    <t>92</t>
  </si>
  <si>
    <t>Волыновский сельсовет</t>
  </si>
  <si>
    <t>22618408</t>
  </si>
  <si>
    <t>93</t>
  </si>
  <si>
    <t>Город Ветлуга</t>
  </si>
  <si>
    <t>22618101</t>
  </si>
  <si>
    <t>94</t>
  </si>
  <si>
    <t>Крутцовский сельсовет</t>
  </si>
  <si>
    <t>22618416</t>
  </si>
  <si>
    <t>95</t>
  </si>
  <si>
    <t>Макарьевский сельсовет</t>
  </si>
  <si>
    <t>22618420</t>
  </si>
  <si>
    <t>96</t>
  </si>
  <si>
    <t>Мошкинский сельсовет</t>
  </si>
  <si>
    <t>22618428</t>
  </si>
  <si>
    <t>97</t>
  </si>
  <si>
    <t>Новоуспенский сельсовет</t>
  </si>
  <si>
    <t>22618432</t>
  </si>
  <si>
    <t>98</t>
  </si>
  <si>
    <t>Поселок им Калинина</t>
  </si>
  <si>
    <t>22618154</t>
  </si>
  <si>
    <t>99</t>
  </si>
  <si>
    <t>Проновский сельсовет</t>
  </si>
  <si>
    <t>22618436</t>
  </si>
  <si>
    <t>100</t>
  </si>
  <si>
    <t>Туранский сельсовет</t>
  </si>
  <si>
    <t>22618444</t>
  </si>
  <si>
    <t>101</t>
  </si>
  <si>
    <t>Вознесенский муниципальный округ</t>
  </si>
  <si>
    <t>22519000</t>
  </si>
  <si>
    <t>102</t>
  </si>
  <si>
    <t>Вознесенский муниципальный район</t>
  </si>
  <si>
    <t>22619000</t>
  </si>
  <si>
    <t>Бахтызинский сельсовет</t>
  </si>
  <si>
    <t>22619408</t>
  </si>
  <si>
    <t>103</t>
  </si>
  <si>
    <t>Благодатовский сельсовет</t>
  </si>
  <si>
    <t>22619412</t>
  </si>
  <si>
    <t>104</t>
  </si>
  <si>
    <t>Бутаковский сельсовет</t>
  </si>
  <si>
    <t>22619416</t>
  </si>
  <si>
    <t>105</t>
  </si>
  <si>
    <t>106</t>
  </si>
  <si>
    <t>Криушинский сельсовет</t>
  </si>
  <si>
    <t>22619420</t>
  </si>
  <si>
    <t>107</t>
  </si>
  <si>
    <t>Мотызлейский сельсовет</t>
  </si>
  <si>
    <t>22619428</t>
  </si>
  <si>
    <t>108</t>
  </si>
  <si>
    <t>Нарышкинский сельсовет</t>
  </si>
  <si>
    <t>22619432</t>
  </si>
  <si>
    <t>109</t>
  </si>
  <si>
    <t>Полховско-Майданский сельсовет</t>
  </si>
  <si>
    <t>22619440</t>
  </si>
  <si>
    <t>110</t>
  </si>
  <si>
    <t>Рабочий поселок Вознесенское</t>
  </si>
  <si>
    <t>22619151</t>
  </si>
  <si>
    <t>111</t>
  </si>
  <si>
    <t>Сарминский сельсовет</t>
  </si>
  <si>
    <t>22619444</t>
  </si>
  <si>
    <t>112</t>
  </si>
  <si>
    <t>Володарский муниципальный округ</t>
  </si>
  <si>
    <t>22520000</t>
  </si>
  <si>
    <t>113</t>
  </si>
  <si>
    <t>Володарский муниципальный район</t>
  </si>
  <si>
    <t>22631000</t>
  </si>
  <si>
    <t>114</t>
  </si>
  <si>
    <t>Город Володарск</t>
  </si>
  <si>
    <t>22631103</t>
  </si>
  <si>
    <t>115</t>
  </si>
  <si>
    <t>Золинский сельсовет</t>
  </si>
  <si>
    <t>22631404</t>
  </si>
  <si>
    <t>116</t>
  </si>
  <si>
    <t>Ильинский сельсовет</t>
  </si>
  <si>
    <t>22631408</t>
  </si>
  <si>
    <t>117</t>
  </si>
  <si>
    <t>Мулинский сельсовет</t>
  </si>
  <si>
    <t>22631411</t>
  </si>
  <si>
    <t>118</t>
  </si>
  <si>
    <t>Рабочий поселок Ильиногорск</t>
  </si>
  <si>
    <t>22631160</t>
  </si>
  <si>
    <t>119</t>
  </si>
  <si>
    <t>Рабочий поселок Решетиха</t>
  </si>
  <si>
    <t>22631168</t>
  </si>
  <si>
    <t>120</t>
  </si>
  <si>
    <t>Рабочий поселок Смолино</t>
  </si>
  <si>
    <t>22631170</t>
  </si>
  <si>
    <t>121</t>
  </si>
  <si>
    <t>Рабочий поселок Фролищи</t>
  </si>
  <si>
    <t>22631173</t>
  </si>
  <si>
    <t>122</t>
  </si>
  <si>
    <t>Рабочий поселок Центральный</t>
  </si>
  <si>
    <t>22631176</t>
  </si>
  <si>
    <t>123</t>
  </si>
  <si>
    <t>Рабочий поселок Юганец</t>
  </si>
  <si>
    <t>22631179</t>
  </si>
  <si>
    <t>124</t>
  </si>
  <si>
    <t>Сельсовет Красная Горка</t>
  </si>
  <si>
    <t>22631402</t>
  </si>
  <si>
    <t>125</t>
  </si>
  <si>
    <t>Воротынский</t>
  </si>
  <si>
    <t>22719000</t>
  </si>
  <si>
    <t>городской округ</t>
  </si>
  <si>
    <t>126</t>
  </si>
  <si>
    <t>Воротынский муниципальный район</t>
  </si>
  <si>
    <t>22621000</t>
  </si>
  <si>
    <t>Белавский сельсовет</t>
  </si>
  <si>
    <t>22621408</t>
  </si>
  <si>
    <t>127</t>
  </si>
  <si>
    <t>128</t>
  </si>
  <si>
    <t>22621416</t>
  </si>
  <si>
    <t>129</t>
  </si>
  <si>
    <t>Красногорский сельсовет</t>
  </si>
  <si>
    <t>22621420</t>
  </si>
  <si>
    <t>130</t>
  </si>
  <si>
    <t>Михайловский сельсовет</t>
  </si>
  <si>
    <t>22621424</t>
  </si>
  <si>
    <t>131</t>
  </si>
  <si>
    <t>Огнев-Майданский сельсовет</t>
  </si>
  <si>
    <t>22621428</t>
  </si>
  <si>
    <t>132</t>
  </si>
  <si>
    <t>Отарский сельсовет</t>
  </si>
  <si>
    <t>22621432</t>
  </si>
  <si>
    <t>133</t>
  </si>
  <si>
    <t>Поселок Васильсурск</t>
  </si>
  <si>
    <t>22621154</t>
  </si>
  <si>
    <t>134</t>
  </si>
  <si>
    <t>Поселок Воротынец</t>
  </si>
  <si>
    <t>22621151</t>
  </si>
  <si>
    <t>135</t>
  </si>
  <si>
    <t>Семьянский сельсовет</t>
  </si>
  <si>
    <t>22621444</t>
  </si>
  <si>
    <t>136</t>
  </si>
  <si>
    <t>Фокинский сельсовет</t>
  </si>
  <si>
    <t>22621448</t>
  </si>
  <si>
    <t>137</t>
  </si>
  <si>
    <t>Чугуновский сельсовет</t>
  </si>
  <si>
    <t>22621452</t>
  </si>
  <si>
    <t>138</t>
  </si>
  <si>
    <t>Воскресенский муниципальный округ</t>
  </si>
  <si>
    <t>22522000</t>
  </si>
  <si>
    <t>139</t>
  </si>
  <si>
    <t>Воскресенский муниципальный район</t>
  </si>
  <si>
    <t>22622000</t>
  </si>
  <si>
    <t>Благовещенский сельсовет</t>
  </si>
  <si>
    <t>22622404</t>
  </si>
  <si>
    <t>140</t>
  </si>
  <si>
    <t>22622408</t>
  </si>
  <si>
    <t>141</t>
  </si>
  <si>
    <t>Владимирский сельсовет</t>
  </si>
  <si>
    <t>22622416</t>
  </si>
  <si>
    <t>142</t>
  </si>
  <si>
    <t>Воздвиженский сельсовет</t>
  </si>
  <si>
    <t>22622420</t>
  </si>
  <si>
    <t>143</t>
  </si>
  <si>
    <t>144</t>
  </si>
  <si>
    <t>Глуховский сельсовет</t>
  </si>
  <si>
    <t>22622424</t>
  </si>
  <si>
    <t>145</t>
  </si>
  <si>
    <t>Егоровский сельсовет</t>
  </si>
  <si>
    <t>22622432</t>
  </si>
  <si>
    <t>146</t>
  </si>
  <si>
    <t>Капустихинский сельсовет</t>
  </si>
  <si>
    <t>22622440</t>
  </si>
  <si>
    <t>147</t>
  </si>
  <si>
    <t>Нахратовский сельсовет</t>
  </si>
  <si>
    <t>22622452</t>
  </si>
  <si>
    <t>148</t>
  </si>
  <si>
    <t>Нестиарский сельсовет</t>
  </si>
  <si>
    <t>22622456</t>
  </si>
  <si>
    <t>149</t>
  </si>
  <si>
    <t>Рабочий поселок Воскресенское</t>
  </si>
  <si>
    <t>22622151</t>
  </si>
  <si>
    <t>150</t>
  </si>
  <si>
    <t>Староустинский сельсовет</t>
  </si>
  <si>
    <t>22622460</t>
  </si>
  <si>
    <t>151</t>
  </si>
  <si>
    <t>Гагинский муниципальный округ</t>
  </si>
  <si>
    <t>22526000</t>
  </si>
  <si>
    <t>152</t>
  </si>
  <si>
    <t>Гагинский муниципальный район</t>
  </si>
  <si>
    <t>22626000</t>
  </si>
  <si>
    <t>Большеаратский сельсовет</t>
  </si>
  <si>
    <t>22626404</t>
  </si>
  <si>
    <t>153</t>
  </si>
  <si>
    <t>Ветошкинский сельсовет</t>
  </si>
  <si>
    <t>22626408</t>
  </si>
  <si>
    <t>154</t>
  </si>
  <si>
    <t>155</t>
  </si>
  <si>
    <t>Гагинский сельсовет</t>
  </si>
  <si>
    <t>22626412</t>
  </si>
  <si>
    <t>156</t>
  </si>
  <si>
    <t>Покровский сельсовет</t>
  </si>
  <si>
    <t>22626432</t>
  </si>
  <si>
    <t>157</t>
  </si>
  <si>
    <t>Ушаковский сельсовет</t>
  </si>
  <si>
    <t>22626440</t>
  </si>
  <si>
    <t>158</t>
  </si>
  <si>
    <t>Юрьевский сельсовет</t>
  </si>
  <si>
    <t>22626444</t>
  </si>
  <si>
    <t>159</t>
  </si>
  <si>
    <t>Городецкий муниципальный округ</t>
  </si>
  <si>
    <t>22528000</t>
  </si>
  <si>
    <t>160</t>
  </si>
  <si>
    <t>Городецкий муниципальный район</t>
  </si>
  <si>
    <t>22628000</t>
  </si>
  <si>
    <t>Бриляковский сельсовет</t>
  </si>
  <si>
    <t>22628404</t>
  </si>
  <si>
    <t>161</t>
  </si>
  <si>
    <t>Город Заволжье</t>
  </si>
  <si>
    <t>22628103</t>
  </si>
  <si>
    <t>162</t>
  </si>
  <si>
    <t>163</t>
  </si>
  <si>
    <t>Зиняковский сельсовет</t>
  </si>
  <si>
    <t>22628416</t>
  </si>
  <si>
    <t>164</t>
  </si>
  <si>
    <t>Ковригинский сельсовет</t>
  </si>
  <si>
    <t>22628422</t>
  </si>
  <si>
    <t>165</t>
  </si>
  <si>
    <t>Кумохинский сельсовет</t>
  </si>
  <si>
    <t>22628428</t>
  </si>
  <si>
    <t>166</t>
  </si>
  <si>
    <t>Николо-Погостинский сельсовет</t>
  </si>
  <si>
    <t>22628442</t>
  </si>
  <si>
    <t>167</t>
  </si>
  <si>
    <t>Рабочий поселок Первомайский</t>
  </si>
  <si>
    <t>22628154</t>
  </si>
  <si>
    <t>168</t>
  </si>
  <si>
    <t>Смиркинский сельсовет</t>
  </si>
  <si>
    <t>22628444</t>
  </si>
  <si>
    <t>169</t>
  </si>
  <si>
    <t>Смольковский сельсовет</t>
  </si>
  <si>
    <t>22628448</t>
  </si>
  <si>
    <t>170</t>
  </si>
  <si>
    <t>Тимирязевский сельсовет</t>
  </si>
  <si>
    <t>22628452</t>
  </si>
  <si>
    <t>171</t>
  </si>
  <si>
    <t>Федуринский сельсовет</t>
  </si>
  <si>
    <t>22628458</t>
  </si>
  <si>
    <t>172</t>
  </si>
  <si>
    <t>город Городец</t>
  </si>
  <si>
    <t>22628101</t>
  </si>
  <si>
    <t>173</t>
  </si>
  <si>
    <t>Дальнеконстантиновский муниципальный округ</t>
  </si>
  <si>
    <t>22530000</t>
  </si>
  <si>
    <t>174</t>
  </si>
  <si>
    <t>Дальнеконстантиновский муниципальный район</t>
  </si>
  <si>
    <t>22630000</t>
  </si>
  <si>
    <t>Белозеровский сельсовет</t>
  </si>
  <si>
    <t>22630408</t>
  </si>
  <si>
    <t>175</t>
  </si>
  <si>
    <t>Богоявленский сельсовет</t>
  </si>
  <si>
    <t>22630412</t>
  </si>
  <si>
    <t>176</t>
  </si>
  <si>
    <t>177</t>
  </si>
  <si>
    <t>Дубравский сельсовет</t>
  </si>
  <si>
    <t>22630444</t>
  </si>
  <si>
    <t>178</t>
  </si>
  <si>
    <t>Кужутский сельсовет</t>
  </si>
  <si>
    <t>22630428</t>
  </si>
  <si>
    <t>179</t>
  </si>
  <si>
    <t>Малопицкий сельсовет</t>
  </si>
  <si>
    <t>22630430</t>
  </si>
  <si>
    <t>180</t>
  </si>
  <si>
    <t>Нижегородский сельсовет</t>
  </si>
  <si>
    <t>22630420</t>
  </si>
  <si>
    <t>181</t>
  </si>
  <si>
    <t>Рабочий поселок Дальнее Константиново</t>
  </si>
  <si>
    <t>22630151</t>
  </si>
  <si>
    <t>182</t>
  </si>
  <si>
    <t>Сарлейский сельсовет</t>
  </si>
  <si>
    <t>22630440</t>
  </si>
  <si>
    <t>183</t>
  </si>
  <si>
    <t>Суроватихинский сельсовет</t>
  </si>
  <si>
    <t>22630448</t>
  </si>
  <si>
    <t>184</t>
  </si>
  <si>
    <t>Тепелевский сельсовет</t>
  </si>
  <si>
    <t>22630456</t>
  </si>
  <si>
    <t>185</t>
  </si>
  <si>
    <t>Дивеевский муниципальный округ</t>
  </si>
  <si>
    <t>22532000</t>
  </si>
  <si>
    <t>186</t>
  </si>
  <si>
    <t>Дивеевский муниципальный район</t>
  </si>
  <si>
    <t>22632000</t>
  </si>
  <si>
    <t>Верякушский сельсовет</t>
  </si>
  <si>
    <t>22632408</t>
  </si>
  <si>
    <t>187</t>
  </si>
  <si>
    <t>22632412</t>
  </si>
  <si>
    <t>188</t>
  </si>
  <si>
    <t>189</t>
  </si>
  <si>
    <t>Дивеевский сельсовет</t>
  </si>
  <si>
    <t>22632416</t>
  </si>
  <si>
    <t>190</t>
  </si>
  <si>
    <t>Елизарьевский сельсовет</t>
  </si>
  <si>
    <t>22632420</t>
  </si>
  <si>
    <t>191</t>
  </si>
  <si>
    <t>Ивановский сельсовет</t>
  </si>
  <si>
    <t>22632424</t>
  </si>
  <si>
    <t>192</t>
  </si>
  <si>
    <t>Сатисский сельсовет</t>
  </si>
  <si>
    <t>22632432</t>
  </si>
  <si>
    <t>193</t>
  </si>
  <si>
    <t>ЗАТО город Саров</t>
  </si>
  <si>
    <t>22704000</t>
  </si>
  <si>
    <t>194</t>
  </si>
  <si>
    <t>Княгининский муниципальный округ</t>
  </si>
  <si>
    <t>22533000</t>
  </si>
  <si>
    <t>195</t>
  </si>
  <si>
    <t>Княгининский муниципальный район</t>
  </si>
  <si>
    <t>22633000</t>
  </si>
  <si>
    <t>Ананьевский сельсовет</t>
  </si>
  <si>
    <t>22633404</t>
  </si>
  <si>
    <t>196</t>
  </si>
  <si>
    <t>Белкинский сельсовет</t>
  </si>
  <si>
    <t>22633408</t>
  </si>
  <si>
    <t>197</t>
  </si>
  <si>
    <t>Возрожденский сельсовет</t>
  </si>
  <si>
    <t>22633416</t>
  </si>
  <si>
    <t>198</t>
  </si>
  <si>
    <t>Город Княгинино</t>
  </si>
  <si>
    <t>22633101</t>
  </si>
  <si>
    <t>199</t>
  </si>
  <si>
    <t>200</t>
  </si>
  <si>
    <t>Соловьевский сельсовет</t>
  </si>
  <si>
    <t>22633428</t>
  </si>
  <si>
    <t>201</t>
  </si>
  <si>
    <t>Ковернинский муниципальный округ</t>
  </si>
  <si>
    <t>22534000</t>
  </si>
  <si>
    <t>202</t>
  </si>
  <si>
    <t>Ковернинский муниципальный район</t>
  </si>
  <si>
    <t>22634000</t>
  </si>
  <si>
    <t>Большемостовский сельсовет</t>
  </si>
  <si>
    <t>22634412</t>
  </si>
  <si>
    <t>203</t>
  </si>
  <si>
    <t>Гавриловский сельсовет</t>
  </si>
  <si>
    <t>22634418</t>
  </si>
  <si>
    <t>204</t>
  </si>
  <si>
    <t>Горевский сельсовет</t>
  </si>
  <si>
    <t>22634420</t>
  </si>
  <si>
    <t>205</t>
  </si>
  <si>
    <t>206</t>
  </si>
  <si>
    <t>Рабочий поселок Ковернино</t>
  </si>
  <si>
    <t>22634151</t>
  </si>
  <si>
    <t>207</t>
  </si>
  <si>
    <t>Скоробогатовский сельсовет</t>
  </si>
  <si>
    <t>22634436</t>
  </si>
  <si>
    <t>208</t>
  </si>
  <si>
    <t>Хохломской сельсовет</t>
  </si>
  <si>
    <t>22634452</t>
  </si>
  <si>
    <t>209</t>
  </si>
  <si>
    <t>Краснобаковский муниципальный округ</t>
  </si>
  <si>
    <t>22535000</t>
  </si>
  <si>
    <t>210</t>
  </si>
  <si>
    <t>Краснобаковский муниципальный район</t>
  </si>
  <si>
    <t>22635000</t>
  </si>
  <si>
    <t>Зубилихинский сельсовет</t>
  </si>
  <si>
    <t>22635404</t>
  </si>
  <si>
    <t>211</t>
  </si>
  <si>
    <t>212</t>
  </si>
  <si>
    <t>Прудовский сельсовет</t>
  </si>
  <si>
    <t>22635430</t>
  </si>
  <si>
    <t>213</t>
  </si>
  <si>
    <t>Рабочий поселок Ветлужский</t>
  </si>
  <si>
    <t>22635154</t>
  </si>
  <si>
    <t>214</t>
  </si>
  <si>
    <t>Рабочий поселок Красные Баки</t>
  </si>
  <si>
    <t>22635151</t>
  </si>
  <si>
    <t>215</t>
  </si>
  <si>
    <t>Чащихинский сельсовет</t>
  </si>
  <si>
    <t>22635424</t>
  </si>
  <si>
    <t>216</t>
  </si>
  <si>
    <t>Шеманихинский сельсовет</t>
  </si>
  <si>
    <t>22635432</t>
  </si>
  <si>
    <t>217</t>
  </si>
  <si>
    <t>Краснооктябрьский муниципальный округ</t>
  </si>
  <si>
    <t>22536000</t>
  </si>
  <si>
    <t>218</t>
  </si>
  <si>
    <t>Краснооктябрьский муниципальный район</t>
  </si>
  <si>
    <t>22636000</t>
  </si>
  <si>
    <t>Большерыбушкинский сельсовет</t>
  </si>
  <si>
    <t>22636408</t>
  </si>
  <si>
    <t>219</t>
  </si>
  <si>
    <t>Ендовищенский сельсовет</t>
  </si>
  <si>
    <t>22636412</t>
  </si>
  <si>
    <t>220</t>
  </si>
  <si>
    <t>Кечасовский сельсовет</t>
  </si>
  <si>
    <t>22636416</t>
  </si>
  <si>
    <t>221</t>
  </si>
  <si>
    <t>Ключищенский сельсовет</t>
  </si>
  <si>
    <t>22636424</t>
  </si>
  <si>
    <t>222</t>
  </si>
  <si>
    <t>223</t>
  </si>
  <si>
    <t>Маресевский сельсовет</t>
  </si>
  <si>
    <t>22636425</t>
  </si>
  <si>
    <t>224</t>
  </si>
  <si>
    <t>Медянский сельсовет</t>
  </si>
  <si>
    <t>22636426</t>
  </si>
  <si>
    <t>225</t>
  </si>
  <si>
    <t>Пошатовский сельсовет</t>
  </si>
  <si>
    <t>22636427</t>
  </si>
  <si>
    <t>226</t>
  </si>
  <si>
    <t>Салганский сельсовет</t>
  </si>
  <si>
    <t>22636428</t>
  </si>
  <si>
    <t>227</t>
  </si>
  <si>
    <t>Саргинский сельсовет</t>
  </si>
  <si>
    <t>22636432</t>
  </si>
  <si>
    <t>228</t>
  </si>
  <si>
    <t>Семеновский сельсовет</t>
  </si>
  <si>
    <t>22636436</t>
  </si>
  <si>
    <t>229</t>
  </si>
  <si>
    <t>Уразовский сельсовет</t>
  </si>
  <si>
    <t>22636440</t>
  </si>
  <si>
    <t>230</t>
  </si>
  <si>
    <t>Чембилеевский сельсовет</t>
  </si>
  <si>
    <t>22636444</t>
  </si>
  <si>
    <t>231</t>
  </si>
  <si>
    <t>Кстовский муниципальный район</t>
  </si>
  <si>
    <t>22637000</t>
  </si>
  <si>
    <t>Афонинский сельсовет</t>
  </si>
  <si>
    <t>22637404</t>
  </si>
  <si>
    <t>233</t>
  </si>
  <si>
    <t>Безводнинский сельсовет</t>
  </si>
  <si>
    <t>22637408</t>
  </si>
  <si>
    <t>234</t>
  </si>
  <si>
    <t>Ближнеборисовский сельсовет</t>
  </si>
  <si>
    <t>22637412</t>
  </si>
  <si>
    <t>235</t>
  </si>
  <si>
    <t>Большеельнинский сельсовет</t>
  </si>
  <si>
    <t>22637416</t>
  </si>
  <si>
    <t>236</t>
  </si>
  <si>
    <t>Большемокринский сельсовет</t>
  </si>
  <si>
    <t>22637420</t>
  </si>
  <si>
    <t>237</t>
  </si>
  <si>
    <t>Город Кстово</t>
  </si>
  <si>
    <t>22637101</t>
  </si>
  <si>
    <t>238</t>
  </si>
  <si>
    <t>Запрудновский сельсовет</t>
  </si>
  <si>
    <t>22637424</t>
  </si>
  <si>
    <t>239</t>
  </si>
  <si>
    <t>240</t>
  </si>
  <si>
    <t>Новоликеевский сельсовет</t>
  </si>
  <si>
    <t>22637436</t>
  </si>
  <si>
    <t>241</t>
  </si>
  <si>
    <t>Прокошевский сельсовет</t>
  </si>
  <si>
    <t>22637438</t>
  </si>
  <si>
    <t>242</t>
  </si>
  <si>
    <t>Работкинский сельсовет</t>
  </si>
  <si>
    <t>22637440</t>
  </si>
  <si>
    <t>243</t>
  </si>
  <si>
    <t>Ройкинский сельсовет</t>
  </si>
  <si>
    <t>22637442</t>
  </si>
  <si>
    <t>244</t>
  </si>
  <si>
    <t>Слободской сельсовет</t>
  </si>
  <si>
    <t>22637444</t>
  </si>
  <si>
    <t>245</t>
  </si>
  <si>
    <t>22637448</t>
  </si>
  <si>
    <t>246</t>
  </si>
  <si>
    <t>Чернышихинский сельсовет</t>
  </si>
  <si>
    <t>22637428</t>
  </si>
  <si>
    <t>247</t>
  </si>
  <si>
    <t>Кулебакский муниципальный район</t>
  </si>
  <si>
    <t>22638000</t>
  </si>
  <si>
    <t>Город Кулебаки</t>
  </si>
  <si>
    <t>22638101</t>
  </si>
  <si>
    <t>248</t>
  </si>
  <si>
    <t>249</t>
  </si>
  <si>
    <t>Мурзицкий сельсовет</t>
  </si>
  <si>
    <t>22638416</t>
  </si>
  <si>
    <t>250</t>
  </si>
  <si>
    <t>Рабочий поселок Велетьма</t>
  </si>
  <si>
    <t>22638152</t>
  </si>
  <si>
    <t>251</t>
  </si>
  <si>
    <t>Рабочий поселок Гремячево</t>
  </si>
  <si>
    <t>22638153</t>
  </si>
  <si>
    <t>252</t>
  </si>
  <si>
    <t>Саваслейский сельсовет</t>
  </si>
  <si>
    <t>22638424</t>
  </si>
  <si>
    <t>253</t>
  </si>
  <si>
    <t>Серебрянский сельсовет</t>
  </si>
  <si>
    <t>22638420</t>
  </si>
  <si>
    <t>254</t>
  </si>
  <si>
    <t>Тепловский сельсовет</t>
  </si>
  <si>
    <t>22638428</t>
  </si>
  <si>
    <t>255</t>
  </si>
  <si>
    <t>Лукояновский муниципальный округ</t>
  </si>
  <si>
    <t>22539000</t>
  </si>
  <si>
    <t>256</t>
  </si>
  <si>
    <t>Лукояновский муниципальный район</t>
  </si>
  <si>
    <t>22639000</t>
  </si>
  <si>
    <t>Большеарский сельсовет</t>
  </si>
  <si>
    <t>22639404</t>
  </si>
  <si>
    <t>257</t>
  </si>
  <si>
    <t>Большемаресьевский сельсовет</t>
  </si>
  <si>
    <t>22639412</t>
  </si>
  <si>
    <t>258</t>
  </si>
  <si>
    <t>Город Лукоянов</t>
  </si>
  <si>
    <t>22639101</t>
  </si>
  <si>
    <t>259</t>
  </si>
  <si>
    <t>Кудеяровский сельсовет</t>
  </si>
  <si>
    <t>22639430</t>
  </si>
  <si>
    <t>260</t>
  </si>
  <si>
    <t>22639432</t>
  </si>
  <si>
    <t>261</t>
  </si>
  <si>
    <t>262</t>
  </si>
  <si>
    <t>Рабочий поселок им Степана Разина</t>
  </si>
  <si>
    <t>22639154</t>
  </si>
  <si>
    <t>263</t>
  </si>
  <si>
    <t>Тольско-Майданский сельсовет</t>
  </si>
  <si>
    <t>22639464</t>
  </si>
  <si>
    <t>264</t>
  </si>
  <si>
    <t>Шандровский сельсовет</t>
  </si>
  <si>
    <t>22639472</t>
  </si>
  <si>
    <t>265</t>
  </si>
  <si>
    <t>Лысковский муниципальный округ</t>
  </si>
  <si>
    <t>22540000</t>
  </si>
  <si>
    <t>266</t>
  </si>
  <si>
    <t>Лысковский муниципальный район</t>
  </si>
  <si>
    <t>22640000</t>
  </si>
  <si>
    <t>Барминский сельсовет</t>
  </si>
  <si>
    <t>22640404</t>
  </si>
  <si>
    <t>267</t>
  </si>
  <si>
    <t>Берендеевский сельсовет</t>
  </si>
  <si>
    <t>22640406</t>
  </si>
  <si>
    <t>268</t>
  </si>
  <si>
    <t>Валковский сельсовет</t>
  </si>
  <si>
    <t>22640408</t>
  </si>
  <si>
    <t>269</t>
  </si>
  <si>
    <t>Город Лысково</t>
  </si>
  <si>
    <t>22640101</t>
  </si>
  <si>
    <t>270</t>
  </si>
  <si>
    <t>Кириковский сельсовет</t>
  </si>
  <si>
    <t>22640420</t>
  </si>
  <si>
    <t>271</t>
  </si>
  <si>
    <t>Кисловский сельсовет</t>
  </si>
  <si>
    <t>22640416</t>
  </si>
  <si>
    <t>272</t>
  </si>
  <si>
    <t>Красноосельский сельсовет</t>
  </si>
  <si>
    <t>22640424</t>
  </si>
  <si>
    <t>273</t>
  </si>
  <si>
    <t>Леньковский сельсовет</t>
  </si>
  <si>
    <t>22640428</t>
  </si>
  <si>
    <t>274</t>
  </si>
  <si>
    <t>275</t>
  </si>
  <si>
    <t>Трофимовский сельсовет</t>
  </si>
  <si>
    <t>22640452</t>
  </si>
  <si>
    <t>276</t>
  </si>
  <si>
    <t>Навашинский</t>
  </si>
  <si>
    <t>22730000</t>
  </si>
  <si>
    <t>277</t>
  </si>
  <si>
    <t>Навашинский муниципальный район</t>
  </si>
  <si>
    <t>22641000</t>
  </si>
  <si>
    <t>Большеокуловский сельсовет</t>
  </si>
  <si>
    <t>22641404</t>
  </si>
  <si>
    <t>278</t>
  </si>
  <si>
    <t>Город Навашино</t>
  </si>
  <si>
    <t>22641101</t>
  </si>
  <si>
    <t>279</t>
  </si>
  <si>
    <t>280</t>
  </si>
  <si>
    <t>Натальинский сельсовет</t>
  </si>
  <si>
    <t>22641420</t>
  </si>
  <si>
    <t>281</t>
  </si>
  <si>
    <t>Поздняковский сельсовет</t>
  </si>
  <si>
    <t>22641428</t>
  </si>
  <si>
    <t>282</t>
  </si>
  <si>
    <t>Сельсовет Теша</t>
  </si>
  <si>
    <t>22641432</t>
  </si>
  <si>
    <t>283</t>
  </si>
  <si>
    <t>Павловский муниципальный округ</t>
  </si>
  <si>
    <t>22542000</t>
  </si>
  <si>
    <t>284</t>
  </si>
  <si>
    <t>Павловский муниципальный район</t>
  </si>
  <si>
    <t>22642000</t>
  </si>
  <si>
    <t>Абабковский сельсовет</t>
  </si>
  <si>
    <t>22642404</t>
  </si>
  <si>
    <t>285</t>
  </si>
  <si>
    <t>Варежский сельсовет</t>
  </si>
  <si>
    <t>22642408</t>
  </si>
  <si>
    <t>286</t>
  </si>
  <si>
    <t>Город Ворсма</t>
  </si>
  <si>
    <t>22642103</t>
  </si>
  <si>
    <t>287</t>
  </si>
  <si>
    <t>Город Горбатов</t>
  </si>
  <si>
    <t>22642105</t>
  </si>
  <si>
    <t>288</t>
  </si>
  <si>
    <t>Город Павлово</t>
  </si>
  <si>
    <t>22642101</t>
  </si>
  <si>
    <t>289</t>
  </si>
  <si>
    <t>Грудцинский сельсовет</t>
  </si>
  <si>
    <t>22642412</t>
  </si>
  <si>
    <t>290</t>
  </si>
  <si>
    <t>Калининский сельсовет</t>
  </si>
  <si>
    <t>22642416</t>
  </si>
  <si>
    <t>291</t>
  </si>
  <si>
    <t>Коровинский сельсовет</t>
  </si>
  <si>
    <t>22642420</t>
  </si>
  <si>
    <t>292</t>
  </si>
  <si>
    <t>293</t>
  </si>
  <si>
    <t>Рабочий поселок Тумботино</t>
  </si>
  <si>
    <t>22642155</t>
  </si>
  <si>
    <t>294</t>
  </si>
  <si>
    <t>Таремский сельсовет</t>
  </si>
  <si>
    <t>22642424</t>
  </si>
  <si>
    <t>295</t>
  </si>
  <si>
    <t>Перевозский</t>
  </si>
  <si>
    <t>22739000</t>
  </si>
  <si>
    <t>296</t>
  </si>
  <si>
    <t>Перевозский муниципальный район</t>
  </si>
  <si>
    <t>22644000</t>
  </si>
  <si>
    <t>Город Перевоз</t>
  </si>
  <si>
    <t>22644101</t>
  </si>
  <si>
    <t>297</t>
  </si>
  <si>
    <t>Дзержинский сельсовет</t>
  </si>
  <si>
    <t>22644403</t>
  </si>
  <si>
    <t>298</t>
  </si>
  <si>
    <t>Дубской сельсовет</t>
  </si>
  <si>
    <t>22644404</t>
  </si>
  <si>
    <t>299</t>
  </si>
  <si>
    <t>Ичалковский сельсовет</t>
  </si>
  <si>
    <t>22644408</t>
  </si>
  <si>
    <t>300</t>
  </si>
  <si>
    <t>Палецкий сельсовет</t>
  </si>
  <si>
    <t>22644412</t>
  </si>
  <si>
    <t>301</t>
  </si>
  <si>
    <t>302</t>
  </si>
  <si>
    <t>Танайковский сельсовет</t>
  </si>
  <si>
    <t>22644416</t>
  </si>
  <si>
    <t>303</t>
  </si>
  <si>
    <t>Тилининский сельсовет</t>
  </si>
  <si>
    <t>22644420</t>
  </si>
  <si>
    <t>304</t>
  </si>
  <si>
    <t>Центральный сельсовет</t>
  </si>
  <si>
    <t>22644424</t>
  </si>
  <si>
    <t>305</t>
  </si>
  <si>
    <t>Пильнинский муниципальный округ</t>
  </si>
  <si>
    <t>22545000</t>
  </si>
  <si>
    <t>306</t>
  </si>
  <si>
    <t>Пильнинский муниципальный район</t>
  </si>
  <si>
    <t>22645000</t>
  </si>
  <si>
    <t>Большеандосовский сельсовет</t>
  </si>
  <si>
    <t>22645408</t>
  </si>
  <si>
    <t>307</t>
  </si>
  <si>
    <t>Бортсурманский сельсовет</t>
  </si>
  <si>
    <t>22645412</t>
  </si>
  <si>
    <t>308</t>
  </si>
  <si>
    <t>Деяновский сельсовет</t>
  </si>
  <si>
    <t>22645416</t>
  </si>
  <si>
    <t>309</t>
  </si>
  <si>
    <t>22645424</t>
  </si>
  <si>
    <t>310</t>
  </si>
  <si>
    <t>Курмышский сельсовет</t>
  </si>
  <si>
    <t>22645428</t>
  </si>
  <si>
    <t>311</t>
  </si>
  <si>
    <t>22645432</t>
  </si>
  <si>
    <t>312</t>
  </si>
  <si>
    <t>Можаров-Майданский сельсовет</t>
  </si>
  <si>
    <t>22645436</t>
  </si>
  <si>
    <t>313</t>
  </si>
  <si>
    <t>Новомочалеевский сельсовет</t>
  </si>
  <si>
    <t>22645440</t>
  </si>
  <si>
    <t>314</t>
  </si>
  <si>
    <t>Петряксинский сельсовет</t>
  </si>
  <si>
    <t>22645448</t>
  </si>
  <si>
    <t>315</t>
  </si>
  <si>
    <t>316</t>
  </si>
  <si>
    <t>Рабочий поселок Пильна</t>
  </si>
  <si>
    <t>22645151</t>
  </si>
  <si>
    <t>317</t>
  </si>
  <si>
    <t>Тенекаевский сельсовет</t>
  </si>
  <si>
    <t>22645456</t>
  </si>
  <si>
    <t>318</t>
  </si>
  <si>
    <t>Языковский сельсовет</t>
  </si>
  <si>
    <t>22645460</t>
  </si>
  <si>
    <t>319</t>
  </si>
  <si>
    <t>Починковский муниципальный округ</t>
  </si>
  <si>
    <t>22546000</t>
  </si>
  <si>
    <t>320</t>
  </si>
  <si>
    <t>Починковский муниципальный район</t>
  </si>
  <si>
    <t>22646000</t>
  </si>
  <si>
    <t>Василево-Майданский сельсовет</t>
  </si>
  <si>
    <t>22646412</t>
  </si>
  <si>
    <t>321</t>
  </si>
  <si>
    <t>Василевский сельсовет</t>
  </si>
  <si>
    <t>22646408</t>
  </si>
  <si>
    <t>322</t>
  </si>
  <si>
    <t>Кочкуровский сельсовет</t>
  </si>
  <si>
    <t>22646424</t>
  </si>
  <si>
    <t>323</t>
  </si>
  <si>
    <t>22646436</t>
  </si>
  <si>
    <t>324</t>
  </si>
  <si>
    <t>Наруксовский сельсовет</t>
  </si>
  <si>
    <t>22646440</t>
  </si>
  <si>
    <t>325</t>
  </si>
  <si>
    <t>Пеля-Хованский сельсовет</t>
  </si>
  <si>
    <t>22646456</t>
  </si>
  <si>
    <t>326</t>
  </si>
  <si>
    <t>327</t>
  </si>
  <si>
    <t>Починковский сельсовет</t>
  </si>
  <si>
    <t>22646460</t>
  </si>
  <si>
    <t>328</t>
  </si>
  <si>
    <t>Ризоватовский сельсовет</t>
  </si>
  <si>
    <t>22646468</t>
  </si>
  <si>
    <t>329</t>
  </si>
  <si>
    <t>Ужовский сельсовет</t>
  </si>
  <si>
    <t>22646480</t>
  </si>
  <si>
    <t>330</t>
  </si>
  <si>
    <t>Семеновский</t>
  </si>
  <si>
    <t>22737000</t>
  </si>
  <si>
    <t>331</t>
  </si>
  <si>
    <t>Сергачский муниципальный округ</t>
  </si>
  <si>
    <t>22548000</t>
  </si>
  <si>
    <t>332</t>
  </si>
  <si>
    <t>Сергачский муниципальный район</t>
  </si>
  <si>
    <t>22648000</t>
  </si>
  <si>
    <t>Андреевский сельсовет</t>
  </si>
  <si>
    <t>22648412</t>
  </si>
  <si>
    <t>333</t>
  </si>
  <si>
    <t>Ачкинский сельсовет</t>
  </si>
  <si>
    <t>22648416</t>
  </si>
  <si>
    <t>334</t>
  </si>
  <si>
    <t>22648420</t>
  </si>
  <si>
    <t>335</t>
  </si>
  <si>
    <t>Город Сергач</t>
  </si>
  <si>
    <t>22648101</t>
  </si>
  <si>
    <t>336</t>
  </si>
  <si>
    <t>Камкинский сельсовет</t>
  </si>
  <si>
    <t>22648428</t>
  </si>
  <si>
    <t>337</t>
  </si>
  <si>
    <t>Кочко-Пожарский сельсовет</t>
  </si>
  <si>
    <t>22648432</t>
  </si>
  <si>
    <t>338</t>
  </si>
  <si>
    <t>22648436</t>
  </si>
  <si>
    <t>339</t>
  </si>
  <si>
    <t>Пожарский сельсовет</t>
  </si>
  <si>
    <t>22648444</t>
  </si>
  <si>
    <t>340</t>
  </si>
  <si>
    <t>341</t>
  </si>
  <si>
    <t>Староберезовский сельсовет</t>
  </si>
  <si>
    <t>22648452</t>
  </si>
  <si>
    <t>342</t>
  </si>
  <si>
    <t>Толбинский сельсовет</t>
  </si>
  <si>
    <t>22648456</t>
  </si>
  <si>
    <t>343</t>
  </si>
  <si>
    <t>Шубинский сельсовет</t>
  </si>
  <si>
    <t>22648460</t>
  </si>
  <si>
    <t>344</t>
  </si>
  <si>
    <t>Сеченовский муниципальный округ</t>
  </si>
  <si>
    <t>22549000</t>
  </si>
  <si>
    <t>345</t>
  </si>
  <si>
    <t>Сеченовский муниципальный район</t>
  </si>
  <si>
    <t>22649000</t>
  </si>
  <si>
    <t>Болтинский сельсовет</t>
  </si>
  <si>
    <t>22649408</t>
  </si>
  <si>
    <t>346</t>
  </si>
  <si>
    <t>Васильевский сельсовет</t>
  </si>
  <si>
    <t>22649412</t>
  </si>
  <si>
    <t>347</t>
  </si>
  <si>
    <t>Верхнеталызинский сельсовет</t>
  </si>
  <si>
    <t>22649416</t>
  </si>
  <si>
    <t>348</t>
  </si>
  <si>
    <t>Кочетовский сельсовет</t>
  </si>
  <si>
    <t>22649420</t>
  </si>
  <si>
    <t>349</t>
  </si>
  <si>
    <t>Красноостровский сельсовет</t>
  </si>
  <si>
    <t>22649428</t>
  </si>
  <si>
    <t>350</t>
  </si>
  <si>
    <t>22649440</t>
  </si>
  <si>
    <t>351</t>
  </si>
  <si>
    <t>352</t>
  </si>
  <si>
    <t>Сеченовский сельсовет</t>
  </si>
  <si>
    <t>22649444</t>
  </si>
  <si>
    <t>353</t>
  </si>
  <si>
    <t>Сокольский</t>
  </si>
  <si>
    <t>22749000</t>
  </si>
  <si>
    <t>354</t>
  </si>
  <si>
    <t>Сосновский муниципальный округ</t>
  </si>
  <si>
    <t>22550000</t>
  </si>
  <si>
    <t>355</t>
  </si>
  <si>
    <t>Сосновский муниципальный район</t>
  </si>
  <si>
    <t>22650000</t>
  </si>
  <si>
    <t>Виткуловский сельсовет</t>
  </si>
  <si>
    <t>22650412</t>
  </si>
  <si>
    <t>356</t>
  </si>
  <si>
    <t>Давыдковский сельсовет</t>
  </si>
  <si>
    <t>22650414</t>
  </si>
  <si>
    <t>357</t>
  </si>
  <si>
    <t>Елизаровский сельсовет</t>
  </si>
  <si>
    <t>22650416</t>
  </si>
  <si>
    <t>358</t>
  </si>
  <si>
    <t>Крутецкий сельсовет</t>
  </si>
  <si>
    <t>22650420</t>
  </si>
  <si>
    <t>359</t>
  </si>
  <si>
    <t>Панинский сельсовет</t>
  </si>
  <si>
    <t>22650424</t>
  </si>
  <si>
    <t>360</t>
  </si>
  <si>
    <t>Рабочий поселок Сосновское</t>
  </si>
  <si>
    <t>22650151</t>
  </si>
  <si>
    <t>361</t>
  </si>
  <si>
    <t>Рожковский сельсовет</t>
  </si>
  <si>
    <t>22650428</t>
  </si>
  <si>
    <t>362</t>
  </si>
  <si>
    <t>Селитьбенский сельсовет</t>
  </si>
  <si>
    <t>22650432</t>
  </si>
  <si>
    <t>363</t>
  </si>
  <si>
    <t>364</t>
  </si>
  <si>
    <t>Яковский сельсовет</t>
  </si>
  <si>
    <t>22650436</t>
  </si>
  <si>
    <t>365</t>
  </si>
  <si>
    <t>Спасский муниципальный округ</t>
  </si>
  <si>
    <t>22551000</t>
  </si>
  <si>
    <t>366</t>
  </si>
  <si>
    <t>Спасский муниципальный район</t>
  </si>
  <si>
    <t>22651000</t>
  </si>
  <si>
    <t>Базловский сельсовет</t>
  </si>
  <si>
    <t>22651404</t>
  </si>
  <si>
    <t>367</t>
  </si>
  <si>
    <t>Вазьянский сельсовет</t>
  </si>
  <si>
    <t>22651420</t>
  </si>
  <si>
    <t>368</t>
  </si>
  <si>
    <t>Высокоосельский сельсовет</t>
  </si>
  <si>
    <t>22651412</t>
  </si>
  <si>
    <t>369</t>
  </si>
  <si>
    <t>Красноватрасский сельсовет</t>
  </si>
  <si>
    <t>22651416</t>
  </si>
  <si>
    <t>370</t>
  </si>
  <si>
    <t>Маклаковский сельсовет</t>
  </si>
  <si>
    <t>22651414</t>
  </si>
  <si>
    <t>371</t>
  </si>
  <si>
    <t>372</t>
  </si>
  <si>
    <t>Спасский сельсовет</t>
  </si>
  <si>
    <t>22651432</t>
  </si>
  <si>
    <t>373</t>
  </si>
  <si>
    <t>Турбанский сельсовет</t>
  </si>
  <si>
    <t>22651440</t>
  </si>
  <si>
    <t>374</t>
  </si>
  <si>
    <t>Тонкинский муниципальный округ</t>
  </si>
  <si>
    <t>22552000</t>
  </si>
  <si>
    <t>375</t>
  </si>
  <si>
    <t>Тонкинский муниципальный район</t>
  </si>
  <si>
    <t>22652000</t>
  </si>
  <si>
    <t>Бердниковский сельсовет</t>
  </si>
  <si>
    <t>22652404</t>
  </si>
  <si>
    <t>376</t>
  </si>
  <si>
    <t>Большесодомовский сельсовет</t>
  </si>
  <si>
    <t>22652408</t>
  </si>
  <si>
    <t>377</t>
  </si>
  <si>
    <t>Вязовский сельсовет</t>
  </si>
  <si>
    <t>22652412</t>
  </si>
  <si>
    <t>378</t>
  </si>
  <si>
    <t>Пакалевский сельсовет</t>
  </si>
  <si>
    <t>22652416</t>
  </si>
  <si>
    <t>379</t>
  </si>
  <si>
    <t>Рабочий поселок Тонкино</t>
  </si>
  <si>
    <t>22652151</t>
  </si>
  <si>
    <t>380</t>
  </si>
  <si>
    <t>381</t>
  </si>
  <si>
    <t>Тоншаевский муниципальный округ</t>
  </si>
  <si>
    <t>22553000</t>
  </si>
  <si>
    <t>382</t>
  </si>
  <si>
    <t>Тоншаевский муниципальный район</t>
  </si>
  <si>
    <t>22653000</t>
  </si>
  <si>
    <t>Березятский сельсовет</t>
  </si>
  <si>
    <t>22653424</t>
  </si>
  <si>
    <t>383</t>
  </si>
  <si>
    <t>Кодочиговский сельсовет</t>
  </si>
  <si>
    <t>22653408</t>
  </si>
  <si>
    <t>384</t>
  </si>
  <si>
    <t>Ложкинский сельсовет</t>
  </si>
  <si>
    <t>22653412</t>
  </si>
  <si>
    <t>385</t>
  </si>
  <si>
    <t>Одошнурский сельсовет</t>
  </si>
  <si>
    <t>22653416</t>
  </si>
  <si>
    <t>386</t>
  </si>
  <si>
    <t>Ошминский сельсовет</t>
  </si>
  <si>
    <t>22653420</t>
  </si>
  <si>
    <t>387</t>
  </si>
  <si>
    <t>Рабочий поселок Пижма</t>
  </si>
  <si>
    <t>22653154</t>
  </si>
  <si>
    <t>388</t>
  </si>
  <si>
    <t>Рабочий поселок Тоншаево</t>
  </si>
  <si>
    <t>22653151</t>
  </si>
  <si>
    <t>389</t>
  </si>
  <si>
    <t>Рабочий поселок Шайгино</t>
  </si>
  <si>
    <t>22653158</t>
  </si>
  <si>
    <t>390</t>
  </si>
  <si>
    <t>391</t>
  </si>
  <si>
    <t>Увийский сельсовет</t>
  </si>
  <si>
    <t>22653436</t>
  </si>
  <si>
    <t>392</t>
  </si>
  <si>
    <t>Уренский муниципальный округ</t>
  </si>
  <si>
    <t>22554000</t>
  </si>
  <si>
    <t>393</t>
  </si>
  <si>
    <t>Уренский муниципальный район</t>
  </si>
  <si>
    <t>22654000</t>
  </si>
  <si>
    <t>Большеарьевский сельсовет</t>
  </si>
  <si>
    <t>22654408</t>
  </si>
  <si>
    <t>394</t>
  </si>
  <si>
    <t>Большепесочнинский сельсовет</t>
  </si>
  <si>
    <t>22654409</t>
  </si>
  <si>
    <t>395</t>
  </si>
  <si>
    <t>Ворошиловский сельсовет</t>
  </si>
  <si>
    <t>22654410</t>
  </si>
  <si>
    <t>396</t>
  </si>
  <si>
    <t>22654412</t>
  </si>
  <si>
    <t>397</t>
  </si>
  <si>
    <t>22654416</t>
  </si>
  <si>
    <t>398</t>
  </si>
  <si>
    <t>Город Урень</t>
  </si>
  <si>
    <t>22654101</t>
  </si>
  <si>
    <t>399</t>
  </si>
  <si>
    <t>Карповский сельсовет</t>
  </si>
  <si>
    <t>22654420</t>
  </si>
  <si>
    <t>400</t>
  </si>
  <si>
    <t>Карпунихинский сельсовет</t>
  </si>
  <si>
    <t>22654424</t>
  </si>
  <si>
    <t>401</t>
  </si>
  <si>
    <t>22654428</t>
  </si>
  <si>
    <t>402</t>
  </si>
  <si>
    <t>Минеевский сельсовет</t>
  </si>
  <si>
    <t>22654430</t>
  </si>
  <si>
    <t>403</t>
  </si>
  <si>
    <t>Обходский сельсовет</t>
  </si>
  <si>
    <t>22654432</t>
  </si>
  <si>
    <t>404</t>
  </si>
  <si>
    <t>Рабочий поселок Арья</t>
  </si>
  <si>
    <t>22654153</t>
  </si>
  <si>
    <t>405</t>
  </si>
  <si>
    <t>22654436</t>
  </si>
  <si>
    <t>406</t>
  </si>
  <si>
    <t>Темтовский сельсовет</t>
  </si>
  <si>
    <t>22654440</t>
  </si>
  <si>
    <t>407</t>
  </si>
  <si>
    <t>408</t>
  </si>
  <si>
    <t>Устанский сельсовет</t>
  </si>
  <si>
    <t>22654444</t>
  </si>
  <si>
    <t>409</t>
  </si>
  <si>
    <t>Чкаловский муниципальный район</t>
  </si>
  <si>
    <t>22655000</t>
  </si>
  <si>
    <t>Беловско-Новинский сельсовет</t>
  </si>
  <si>
    <t>22655406</t>
  </si>
  <si>
    <t>410</t>
  </si>
  <si>
    <t>Вершиловский сельсовет</t>
  </si>
  <si>
    <t>22655408</t>
  </si>
  <si>
    <t>411</t>
  </si>
  <si>
    <t>Город Чкаловск</t>
  </si>
  <si>
    <t>22655101</t>
  </si>
  <si>
    <t>412</t>
  </si>
  <si>
    <t>Котельницкий сельсовет</t>
  </si>
  <si>
    <t>22655416</t>
  </si>
  <si>
    <t>413</t>
  </si>
  <si>
    <t>Кузнецовский сельсовет</t>
  </si>
  <si>
    <t>22655412</t>
  </si>
  <si>
    <t>414</t>
  </si>
  <si>
    <t>Пуреховский сельсовет</t>
  </si>
  <si>
    <t>22655424</t>
  </si>
  <si>
    <t>415</t>
  </si>
  <si>
    <t>Сельсовет Катунки</t>
  </si>
  <si>
    <t>22655432</t>
  </si>
  <si>
    <t>416</t>
  </si>
  <si>
    <t>Сельсовет Чистое</t>
  </si>
  <si>
    <t>22655436</t>
  </si>
  <si>
    <t>417</t>
  </si>
  <si>
    <t>Соломатовский сельсовет</t>
  </si>
  <si>
    <t>22655428</t>
  </si>
  <si>
    <t>418</t>
  </si>
  <si>
    <t>419</t>
  </si>
  <si>
    <t>Шарангский муниципальный округ</t>
  </si>
  <si>
    <t>22556000</t>
  </si>
  <si>
    <t>420</t>
  </si>
  <si>
    <t>Шарангский муниципальный район</t>
  </si>
  <si>
    <t>22656000</t>
  </si>
  <si>
    <t>Большерудкинский сельсовет</t>
  </si>
  <si>
    <t>22656404</t>
  </si>
  <si>
    <t>421</t>
  </si>
  <si>
    <t>Большеустинский сельсовет</t>
  </si>
  <si>
    <t>22656408</t>
  </si>
  <si>
    <t>422</t>
  </si>
  <si>
    <t>Кушнурский сельсовет</t>
  </si>
  <si>
    <t>22656416</t>
  </si>
  <si>
    <t>423</t>
  </si>
  <si>
    <t>Рабочий поселок Шаранга</t>
  </si>
  <si>
    <t>22656151</t>
  </si>
  <si>
    <t>424</t>
  </si>
  <si>
    <t>Роженцовский сельсовет</t>
  </si>
  <si>
    <t>22656424</t>
  </si>
  <si>
    <t>425</t>
  </si>
  <si>
    <t>Старорудкинский сельсовет</t>
  </si>
  <si>
    <t>22656428</t>
  </si>
  <si>
    <t>426</t>
  </si>
  <si>
    <t>Черномужский сельсовет</t>
  </si>
  <si>
    <t>22656432</t>
  </si>
  <si>
    <t>427</t>
  </si>
  <si>
    <t>428</t>
  </si>
  <si>
    <t>Щенниковский сельсовет</t>
  </si>
  <si>
    <t>22656436</t>
  </si>
  <si>
    <t>429</t>
  </si>
  <si>
    <t>Шатковский муниципальный округ</t>
  </si>
  <si>
    <t>22557000</t>
  </si>
  <si>
    <t>430</t>
  </si>
  <si>
    <t>Шатковский муниципальный район</t>
  </si>
  <si>
    <t>22657000</t>
  </si>
  <si>
    <t>Архангельский сельсовет</t>
  </si>
  <si>
    <t>22657404</t>
  </si>
  <si>
    <t>431</t>
  </si>
  <si>
    <t>Кержемокский сельсовет</t>
  </si>
  <si>
    <t>22657416</t>
  </si>
  <si>
    <t>432</t>
  </si>
  <si>
    <t>Костянский сельсовет</t>
  </si>
  <si>
    <t>22657424</t>
  </si>
  <si>
    <t>433</t>
  </si>
  <si>
    <t>Красноборский сельсовет</t>
  </si>
  <si>
    <t>22657428</t>
  </si>
  <si>
    <t>434</t>
  </si>
  <si>
    <t>Рабочий поселок Лесогорск</t>
  </si>
  <si>
    <t>22657154</t>
  </si>
  <si>
    <t>435</t>
  </si>
  <si>
    <t>Рабочий поселок Шатки</t>
  </si>
  <si>
    <t>22657151</t>
  </si>
  <si>
    <t>436</t>
  </si>
  <si>
    <t>Светлогорский сельсовет</t>
  </si>
  <si>
    <t>22657430</t>
  </si>
  <si>
    <t>437</t>
  </si>
  <si>
    <t>Силинский сельсовет</t>
  </si>
  <si>
    <t>22657436</t>
  </si>
  <si>
    <t>438</t>
  </si>
  <si>
    <t>Смирновский сельсовет</t>
  </si>
  <si>
    <t>22657448</t>
  </si>
  <si>
    <t>439</t>
  </si>
  <si>
    <t>Староиванцевский сельсовет</t>
  </si>
  <si>
    <t>22657456</t>
  </si>
  <si>
    <t>440</t>
  </si>
  <si>
    <t>Шараповский сельсовет</t>
  </si>
  <si>
    <t>22657460</t>
  </si>
  <si>
    <t>441</t>
  </si>
  <si>
    <t>442</t>
  </si>
  <si>
    <t>город Арзамас</t>
  </si>
  <si>
    <t>22703000</t>
  </si>
  <si>
    <t>443</t>
  </si>
  <si>
    <t>город Бор</t>
  </si>
  <si>
    <t>22712000</t>
  </si>
  <si>
    <t>444</t>
  </si>
  <si>
    <t>город Выкса</t>
  </si>
  <si>
    <t>22715000</t>
  </si>
  <si>
    <t>445</t>
  </si>
  <si>
    <t>город Дзержинск</t>
  </si>
  <si>
    <t>22721000</t>
  </si>
  <si>
    <t>446</t>
  </si>
  <si>
    <t>город Кулебаки</t>
  </si>
  <si>
    <t>22727000</t>
  </si>
  <si>
    <t>447</t>
  </si>
  <si>
    <t>город Нижний Новгород</t>
  </si>
  <si>
    <t>22701000</t>
  </si>
  <si>
    <t>448</t>
  </si>
  <si>
    <t>город Первомайск</t>
  </si>
  <si>
    <t>22734000</t>
  </si>
  <si>
    <t>449</t>
  </si>
  <si>
    <t>город Чкаловск</t>
  </si>
  <si>
    <t>22755000</t>
  </si>
  <si>
    <t>450</t>
  </si>
  <si>
    <t>город Шахунья</t>
  </si>
  <si>
    <t>22758000</t>
  </si>
  <si>
    <t>451</t>
  </si>
  <si>
    <t>NUMBER_POINT</t>
  </si>
  <si>
    <t>L_NAME</t>
  </si>
  <si>
    <t>L_START_DATE</t>
  </si>
  <si>
    <t>L_END_DATE</t>
  </si>
  <si>
    <t>Инвестиционная программа № 329-116/23/од от 05.06.2023 ООО "СЕВЕРНЫЕ КОММУНАЛЬНЫЕ СЕТИ" в сфере теплоснабжения по реконструкции котельных и тепловых сетей, на территории муниципального округа Тоншаевский на 2023-2037 годы</t>
  </si>
  <si>
    <t>05.06.2023</t>
  </si>
  <si>
    <t>31.12.2037</t>
  </si>
  <si>
    <t>Инвестиционная программа № 329-230/21Под от 26.08.2021 ООО "Гранит" в сфере теплоснабжения по развитию, модернизации и реконструкции котельных и тепловых сетей, на территории городского округа Сокольский на 2021-2037 годы</t>
  </si>
  <si>
    <t>01.10.2021</t>
  </si>
  <si>
    <t>Инвестиционная программа № 329-317/21П/од от 01.11.2021 ООО "Теплосети" в сфере теплоснабжения по развитию имущественного комплекса, на территории городского округа Нижний Новгород на 2022-2026 годы</t>
  </si>
  <si>
    <t>01.01.2022</t>
  </si>
  <si>
    <t>31.12.2026</t>
  </si>
  <si>
    <t>Инвестиционная программа № 329-334/22П/од от 31.10.2022 ООО "Бор Инвест" в сфере теплоснабжения по развитию систем теплоснабжения от котельных и тепловых сетей, на территории муниципального округа Вознесенский на 2023-2048 годы</t>
  </si>
  <si>
    <t>01.12.2023</t>
  </si>
  <si>
    <t>31.12.2048</t>
  </si>
  <si>
    <t>Инвестиционная программа № 329-336/22П/од от 01.11.2022 ООО "Гранит" в сфере теплоснабжения по строительству, реконструкции и модернизации централизованных систем теплоснабжения, на территории муниципального округа Уренский на 2023-2037 годы</t>
  </si>
  <si>
    <t>Инвестиционная программа № 329-337/22П/од от 31.10.2022 ООО "СТН-Энергосети" в сфере теплоснабжения по техническому перевооружению систем теплоснабжения, на территории городского округа Нижний Новгород на 2023 год</t>
  </si>
  <si>
    <t>01.01.2023</t>
  </si>
  <si>
    <t>31.12.2023</t>
  </si>
  <si>
    <t>Инвестиционная программа № 329-396/22П от 23.11.2022 АО "Теплоэнерго" в сфере теплоснабжения по строительству, реконструкции, модернизации и развитию систем теплоснабжения от котельных и тепловых сетей, на территории городского округа Нижний Новгород на 2023-2027 годы</t>
  </si>
  <si>
    <t>31.12.2027</t>
  </si>
  <si>
    <t>Инвестиционная программа № 329-396/22П/од от 23.11.2022 АО "Теплоэнерго" в сфере теплоснабжения по строительству, реконструкции, модернизации и развитию имущественного комплекса, на территории городского округа Нижний Новгород на 2023-2027 годы</t>
  </si>
  <si>
    <t>Инвестиционная программа № 329-396/22П/од от 23.11.2022 АО "Теплоэнерго"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Нижний Новгород на 2023-2047 годы</t>
  </si>
  <si>
    <t>31.12.2047</t>
  </si>
  <si>
    <t>Инвестиционная программа № 329_318/21П/од от 29.10.2021 ООО "Автозаводская ТЭЦ" в сфере теплоснабжения в отношении объектов, на территории городского округа Нижний Новгород на 2022-2026 годы</t>
  </si>
  <si>
    <t>Инвестиционная программа АО "Теплоэнерго" в сфере теплоснабжения на 2014-2022 годы</t>
  </si>
  <si>
    <t>01.01.2014</t>
  </si>
  <si>
    <t>31.12.2022</t>
  </si>
  <si>
    <t>Инвестиционная программа Балахнинского филиала АО "НОКК" в сфере теплоснабжения на 2018-2028 годы</t>
  </si>
  <si>
    <t>01.01.2018</t>
  </si>
  <si>
    <t>31.12.2028</t>
  </si>
  <si>
    <t>Инвестиционная программа Балахнинского филиала АО "Нижегородская областная коммунальная компания" в сфере теплоснабжения на период 2018-2028 годы</t>
  </si>
  <si>
    <t>Инвестиционная программа Богородского филиала АО "НОКК" в сфере теплоснабжения на 2017-2030 годы</t>
  </si>
  <si>
    <t>01.01.2017</t>
  </si>
  <si>
    <t>31.12.2030</t>
  </si>
  <si>
    <t>Инвестиционная программа Богородского филиала АО "Нижегородская областная коммунальная компания" на период 2017-2030 гг.</t>
  </si>
  <si>
    <t>Инвестиционная программа Богородского филиала АО "Нижегородская областная коммунальная компания" на период 2017-2030 годы</t>
  </si>
  <si>
    <t>Инвестиционная программа Володарского филиала ООО "УК "Нижегородская областная коммунальная компания" в сфере теплоснабжения на период 2018-2027 годы</t>
  </si>
  <si>
    <t>Инвестиционная программа Володарского филиала ООО "УК"НОКК" в сфере теплоснабжения на 2018-2027 годы</t>
  </si>
  <si>
    <t>Инвестиционная программа МУП "Выксатеплоэнерго" по строительству и техническому перевооружению системы теплоснабжения городского округа город Выкса на 2016-2021 годы</t>
  </si>
  <si>
    <t>01.01.2016</t>
  </si>
  <si>
    <t>31.12.2021</t>
  </si>
  <si>
    <t>Инвестиционная программа МУП "Выксатеплоэнерго" по строительству и техническому перевооружению системы теплоснабжения городского округа города Выкса на 2016-2023 годы</t>
  </si>
  <si>
    <t>Инвестиционная программа ОАО "Теплоэнерго" в сфере теплоснабжения на 2014-2022 годы</t>
  </si>
  <si>
    <t>Инвестиционная программа ООО "Автозаводская ТЭЦ" в сфере теплоснабжения на 2018-2021 годы</t>
  </si>
  <si>
    <t>Инвестиционная программа ООО "Атриум Инвест" по развитию системы теплоснабжения котельной, расположенной по адресу: Шатковкский район, рп Шатки, ул.1 Мая, д. 69б на 2017-2029 годы</t>
  </si>
  <si>
    <t>31.12.2029</t>
  </si>
  <si>
    <t>Инвестиционная программа ООО "Атриум Инвест" по развитию системы теплоснабжения котельной, расположенной по адресу: г Бор, п Большеорловское, ул. Микрорайон, участок 8В на 2017-2030 годы</t>
  </si>
  <si>
    <t>Инвестиционная программа ООО "Атриум Инвест" по развитию системы теплоснабжения от котельной, расположенной по адресу: Шатковский район, р.п. Шатки, ул. 1 Мая, д. 69, на период 2017-2029 гг.</t>
  </si>
  <si>
    <t>Инвестиционная программа ООО "Атриум Инвест" по развитию системы теплоснабжения от котельной, расположенной по адресу: городской округ город Бор, п. Большеорловское, ул. Микрорайон, участок 8В, на период 2017-2030 гг.</t>
  </si>
  <si>
    <t>Инвестиционная программа ООО "Бор Инвест" по развитию системы теплоснабжения котельных и тепловых сетей на 2017-2039 годы</t>
  </si>
  <si>
    <t>31.12.2039</t>
  </si>
  <si>
    <t>Инвестиционная программа ООО "Бор Инвест" по развитию системы теплоснабжения от котельных и тепловых сетей на период 2017-2026 гг.</t>
  </si>
  <si>
    <t>Инвестиционная программа ООО "Бор Теплогаз" по развитию системы теплоснабжения от котельных села Вад Вадского муниципального района на 2018-2031 годы</t>
  </si>
  <si>
    <t>31.12.2031</t>
  </si>
  <si>
    <t>Инвестиционная программа ООО "Ветлужская ТК" в сфере теплоснабжения на 2017-2023 годы</t>
  </si>
  <si>
    <t>Инвестиционная программа ООО "Генерация тепла" по развитию систем теплоснабжения Автозаводского и Ленинского районов города Нижнего Новгорода на 2017-2020 годы</t>
  </si>
  <si>
    <t>31.12.2020</t>
  </si>
  <si>
    <t>Инвестиционная программа ООО "Генерация тепла" по развитию систем теплоснабжения Автозаводского района города Нижнего Новгорода на период 2017-2022 гг.</t>
  </si>
  <si>
    <t>Инвестиционная программа ООО "Нижновтеплоэнерго" на период 2017-2023 гг.</t>
  </si>
  <si>
    <t>Инвестиционная программа ООО "Тепловик" по развитию системы теплоснабжения котельных городского округа Бор на 2018-2043 годы</t>
  </si>
  <si>
    <t>31.12.2043</t>
  </si>
  <si>
    <t>Инвестиционная программа ООО "Тепловик" по развитию системы теплоснабжения от котельных городского округа город Бор на 2018-2031 годы</t>
  </si>
  <si>
    <t>Инвестиционная программа ООО "Теплосети" по развитию теплоснабжения Ленинского и Автозаводского районов г. Нижний Новгород на 2017-2021 годы, утвержденная 28 октября 2016 Министерством энергетики и ЖКХ Нижегородской области</t>
  </si>
  <si>
    <t>Инвестиционная программа ООО "Теплосети" по развитию теплоснабжения Ленинского и Автозаводского районов города Нижнего Новгорода на 2017-2021 годы</t>
  </si>
  <si>
    <t>Инвестиционная программа Семеновского филиала АО "НОКК" в сфере теплоснабжения на 2017-2027 годы</t>
  </si>
  <si>
    <t>Инвестиционная программа Семеновского филиала АО "Нижегородская областная коммунальная компания" на период 2017-2027 гг.</t>
  </si>
  <si>
    <t>Инвестиционная программа Сеченовского филиала АО "Нижегородская областная коммунальная компания" в сфере теплоснабжения на период 2018-2025 годы</t>
  </si>
  <si>
    <t>31.12.2025</t>
  </si>
  <si>
    <t>Инвестиционная программа Шахунского филиала АО "НОКК" в сфере теплоснабжения на 2017-2027 годы</t>
  </si>
  <si>
    <t>Инвестиционная программа от 01.02.2021 ООО "Тепловые сети" в сфере теплоснабжения по модернизации и строительству объектов, на территории рп Ардатов, Рабочий поселок Ардатов, Ардатовский муниципальный район на 2021-2029 годы</t>
  </si>
  <si>
    <t>01.02.2021</t>
  </si>
  <si>
    <t>Инвестиционная программа от 01.07.2020 МУП ЖКХ "Жилсервис" Володарского района в сфере теплоснабжения по комплексному развитию имущественного комплекса, на территории муниципального района Володарский на 2020-2050 годы</t>
  </si>
  <si>
    <t>01.07.2020</t>
  </si>
  <si>
    <t>31.12.2050</t>
  </si>
  <si>
    <t>Инвестиционная программа от 01.07.2020 ОАО "Павловский завод им.Кирова" в сфере горячего водоснабжения по модернизации и развитию имущественного комплекса, на территории муниципального района Павловский на 2020-2050 годы</t>
  </si>
  <si>
    <t>Инвестиционная программа от 01.07.2020 ОАО "Павловский завод им.Кирова" в сфере теплоснабжения по модернизации имущественного комплекса, на территории муниципального района Павловский на 2020-2050 годы</t>
  </si>
  <si>
    <t>Инвестиционная программа от 04.09.2018 ООО "КСК" в сфере теплоснабжения по строительству и оборудованию котельных и тепловых сетей, на территории городского округа Нижний Новгород на 2019-2023 годы</t>
  </si>
  <si>
    <t>01.01.2019</t>
  </si>
  <si>
    <t>Инвестиционная программа от 04.09.2018 ООО "КСК" в сфере теплоснабжения по строительству и оборудованию систем теплоснабжения от котельных и тепловых сетей, на территории городского округа Нижний Новгород на 2019-2027 годы</t>
  </si>
  <si>
    <t>Инвестиционная программа от 05.10.2019 Филиал "Нижегородский" ПАО "Т ПЛЮС" в сфере теплоснабжения по модернизации и реконструкции имущественного комплекса, на территории городского округа Нижний Новгород на 2020-2023 годы</t>
  </si>
  <si>
    <t>01.01.2020</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</si>
  <si>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района Павловский на 2021-2025 годы</t>
  </si>
  <si>
    <t>01.01.2021</t>
  </si>
  <si>
    <t>24.12.2025</t>
  </si>
  <si>
    <t>Инвестиционная программа от 08.09.2020 ООО "Генерация тепла" в сфере теплоснабжения по развитию систем инженерной инфраструктуры, на территории городского округа Нижний Новгород на 2021-2028 годы</t>
  </si>
  <si>
    <t>Инвестиционная программа от 10.10.2019 МУП "Тепловые сети" в сфере теплоснабжения по модернизации котельных на 2020-2024 годы</t>
  </si>
  <si>
    <t>31.12.2024</t>
  </si>
  <si>
    <t>Инвестиционная программа от 16.07.2018 ООО "Нижегородтеплогаз" в сфере теплоснабжения по техническому перевооружению газовых котельных, на территории городского округа Дзержинск на 2019-2021 годы</t>
  </si>
  <si>
    <t>Инвестиционная программа от 16.10.2020 ООО "ПрофТепло" в сфере теплоснабжения по развитию систем теплоснабжения, на территории муниципального района Арзамасский на 2020-2033 годы</t>
  </si>
  <si>
    <t>16.10.2020</t>
  </si>
  <si>
    <t>31.12.2033</t>
  </si>
  <si>
    <t>Инвестиционная программа от 16.10.2020 ООО "Тепловые сети Арзамасского района" в сфере теплоснабжения по развитию систем теплоснабжения, на территории муниципального района Арзамасский на 2020-2033 годы</t>
  </si>
  <si>
    <t>Инвестиционная программа от 20.11.2020 АО "ВЫКСАТЕПЛОЭНЕРГО" в сфере теплоснабжения по комплексному развитию имущественного комплекса, на территории городского округа Выкса на 2020-2021 годы</t>
  </si>
  <si>
    <t>20.11.2020</t>
  </si>
  <si>
    <t>Инвестиционная программа от 23.11.2022 АО "Теплоэнерго" в сфере теплоснабжения по строительству и модернизации объектов, на территории городского округа Нижний Новгород на 2022 год</t>
  </si>
  <si>
    <t>23.11.2022</t>
  </si>
  <si>
    <t>Инвестиционная программа от 24.10.2018 ООО "БТГ" в сфере теплоснабжения по комплексному развитию объектов, на территории сельского поселения Бахтызинский, Вознесенский муниципальный район на 2019-2040 годы</t>
  </si>
  <si>
    <t>31.12.2040</t>
  </si>
  <si>
    <t>Инвестиционная программа от 24.10.2018 ООО "БТГ" в сфере теплоснабжения по комплексному развитию систем теплоснабжения, на территории муниципального района Вознесенский на 2019-2040 годы</t>
  </si>
  <si>
    <t>Инвестиционная программа от 25.02.2022 АО "СТСК" в сфере теплоснабжения по реконструкции объектов систем теплоснабжения, на территории городского округа ЗАТО Саров на 2022-2029 годы</t>
  </si>
  <si>
    <t>25.02.2022</t>
  </si>
  <si>
    <t>Инвестиционная программа от 25.10.2016 Филиал "Нижегородский" ПАО "Т ПЛЮС" в сфере теплоснабжения по строительству, реконструкции, модернизации и развитию систем теплоснабжения, на территории городского округа Дзержинск на 2016-2047 годы</t>
  </si>
  <si>
    <t>25.10.2016</t>
  </si>
  <si>
    <t>Инвестиционная программа от 26.10.2020 АО "СТСК" в сфере теплоснабжения по модернизации и развитию имущественного комплекса, на территории городского округа ЗАТО Саров на 2021-2023 годы</t>
  </si>
  <si>
    <t>Инвестиционная программа от 28.05.2021 АО "Теплоэнерго" в сфере теплоснабжения и горячего водоснабжения по строительству, реконструкции, модернизации и развитию имущественного комплекса, на территории городского округа Чкаловск на 2021-2030 годы</t>
  </si>
  <si>
    <t>28.05.2021</t>
  </si>
  <si>
    <t>Инвестиционная программа от 29.10.2019 ООО "ОРК" в сфере теплоснабжения по развитию систем теплоснабжения, на территории городского округа Арзамас на 2020-2043 годы</t>
  </si>
  <si>
    <t>Инвестиционная программа от 30.10.2019 МУП "Тепловые сети" в сфере теплоснабжения по модернизации котельных, на территории городского поселения город Городец, Городецкий муниципальный район на 2020-2024 годы</t>
  </si>
  <si>
    <t>Инвестиционная программа от 30.10.2019 ООО "Бор Теплоэнерго" в сфере теплоснабжения по развитию систем теплоснабжения, на территории городского округа Кулебаки на 2020-2037 годы</t>
  </si>
  <si>
    <t>Инвестиционная программа от 30.10.2020 ООО "Энергосервис" в сфере теплоснабжения по развитию систем теплоснабжения, на территории городского округа Нижний Новгород на 2021-2026 годы</t>
  </si>
  <si>
    <t>Инвестиционная программа филиала Нижегородский ПАО "Т Плюс" в сфере теплоснабжения на 2016-2047 годы</t>
  </si>
  <si>
    <t>Инвестиционная программа филиала Нижегородский ПАО "Т Плюс" в сфере теплоснабжения на территории Кстовского муниципального района на 2017-2046 годы</t>
  </si>
  <si>
    <t>31.12.2046</t>
  </si>
  <si>
    <t>Инвестиционная программа филиала Нижегородский ПАО "Т Плюс" г. Кстово на 2017-2046 годы</t>
  </si>
  <si>
    <t>Инвестиционная программа филиала Нижегородский ПАО "Т Плюс" на территории города Дзержинск на 2016-2047 годы</t>
  </si>
  <si>
    <t>Инвестиционная программа фллиала Нижегородский ПАО "Т Плюс" г. Дзержинск на 2016-2047 годы</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</si>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</sst>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6" formatCode="_-* #,##0.00[$€-1]_-;\-* #,##0.00[$€-1]_-;_-* &quot;-&quot;??[$€-1]_-"/>
    <numFmt numFmtId="167" formatCode="#,##0.0"/>
    <numFmt numFmtId="168" formatCode="#,##0.000"/>
    <numFmt numFmtId="169" formatCode="#,##0.0000"/>
    <numFmt numFmtId="170" formatCode="dd\.mm\.yyyy"/>
    <numFmt numFmtId="171" formatCode="000000"/>
  </numFmts>
  <fonts count="125">
    <font>
      <sz val="9"/>
      <color rgb="FF000000"/>
      <name val="Tahoma"/>
    </font>
    <font>
      <sz val="11"/>
      <color theme="1"/>
      <name val="Calibri"/>
      <family val="2"/>
      <charset val="204"/>
      <scheme val="minor"/>
    </font>
    <font>
      <sz val="11"/>
      <color indexed="0"/>
      <name val="Calibri"/>
      <family val="2"/>
    </font>
    <font>
      <sz val="11"/>
      <color rgb="FF000080"/>
      <name val="Calibri"/>
      <family val="2"/>
      <charset val="204"/>
    </font>
    <font>
      <sz val="12"/>
      <name val="Arial"/>
      <family val="2"/>
      <charset val="204"/>
    </font>
    <font>
      <sz val="10"/>
      <name val="Helv"/>
    </font>
    <font>
      <sz val="8"/>
      <name val="Arial"/>
      <family val="2"/>
      <charset val="204"/>
    </font>
    <font>
      <sz val="10"/>
      <name val="Tahoma"/>
      <family val="2"/>
      <charset val="204"/>
    </font>
    <font>
      <sz val="9"/>
      <name val="Tahoma"/>
      <family val="2"/>
      <charset val="204"/>
    </font>
    <font>
      <sz val="8"/>
      <name val="Palatino"/>
    </font>
    <font>
      <u/>
      <sz val="10"/>
      <color rgb="FF800080"/>
      <name val="Arial Cyr"/>
    </font>
    <font>
      <sz val="8"/>
      <name val="Helv"/>
    </font>
    <font>
      <sz val="11"/>
      <name val="Tahoma"/>
      <family val="2"/>
      <charset val="204"/>
    </font>
    <font>
      <u/>
      <sz val="9"/>
      <color rgb="FF333399"/>
      <name val="Tahoma"/>
      <family val="2"/>
      <charset val="204"/>
    </font>
    <font>
      <b/>
      <u/>
      <sz val="11"/>
      <color rgb="FF0000FF"/>
      <name val="Arial"/>
      <family val="2"/>
      <charset val="204"/>
    </font>
    <font>
      <u/>
      <sz val="9"/>
      <color rgb="FF0000FF"/>
      <name val="Tahoma"/>
      <family val="2"/>
      <charset val="204"/>
    </font>
    <font>
      <u/>
      <sz val="9"/>
      <color rgb="FF000080"/>
      <name val="Tahoma"/>
      <family val="2"/>
      <charset val="204"/>
    </font>
    <font>
      <b/>
      <u/>
      <sz val="9"/>
      <color rgb="FF0000FF"/>
      <name val="Tahoma"/>
      <family val="2"/>
      <charset val="204"/>
    </font>
    <font>
      <b/>
      <sz val="14"/>
      <name val="Franklin Gothic Medium"/>
      <family val="2"/>
      <charset val="204"/>
    </font>
    <font>
      <b/>
      <sz val="9"/>
      <name val="Tahoma"/>
      <family val="2"/>
      <charset val="204"/>
    </font>
    <font>
      <sz val="11"/>
      <color rgb="FF000000"/>
      <name val="Calibri"/>
      <family val="2"/>
      <charset val="204"/>
    </font>
    <font>
      <sz val="10"/>
      <name val="Arial Cyr"/>
    </font>
    <font>
      <sz val="11"/>
      <color rgb="FF333333"/>
      <name val="Calibri"/>
      <family val="2"/>
      <charset val="204"/>
    </font>
    <font>
      <sz val="8"/>
      <name val="Verdana"/>
      <family val="2"/>
      <charset val="204"/>
    </font>
    <font>
      <u/>
      <sz val="9"/>
      <color theme="11"/>
      <name val="Tahoma"/>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9"/>
      <color theme="0"/>
      <name val="Tahoma"/>
      <family val="2"/>
      <charset val="204"/>
    </font>
    <font>
      <sz val="1"/>
      <color theme="0"/>
      <name val="Tahoma"/>
      <family val="2"/>
      <charset val="204"/>
    </font>
    <font>
      <b/>
      <sz val="1"/>
      <color theme="0"/>
      <name val="Calibri"/>
      <family val="2"/>
      <charset val="204"/>
    </font>
    <font>
      <sz val="8"/>
      <color rgb="FFBCBCBC"/>
      <name val="Tahoma"/>
      <family val="2"/>
      <charset val="204"/>
    </font>
    <font>
      <sz val="12"/>
      <color rgb="FF000000"/>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b/>
      <sz val="9"/>
      <color rgb="FF000080"/>
      <name val="Tahoma"/>
      <family val="2"/>
      <charset val="204"/>
    </font>
    <font>
      <u/>
      <sz val="1"/>
      <color rgb="FF333399"/>
      <name val="Tahoma"/>
      <family val="2"/>
      <charset val="204"/>
    </font>
    <font>
      <sz val="15"/>
      <name val="Tahoma"/>
      <family val="2"/>
      <charset val="204"/>
    </font>
    <font>
      <sz val="1"/>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b/>
      <sz val="8"/>
      <color rgb="FFC0C0C0"/>
      <name val="Wingdings 2"/>
      <family val="1"/>
      <charset val="2"/>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u/>
      <sz val="9"/>
      <name val="Tahoma"/>
      <family val="2"/>
      <charset val="204"/>
    </font>
    <font>
      <u/>
      <sz val="9"/>
      <color theme="0"/>
      <name val="Tahoma"/>
      <family val="2"/>
      <charset val="204"/>
    </font>
    <font>
      <u/>
      <sz val="1"/>
      <color theme="0"/>
      <name val="Tahoma"/>
      <family val="2"/>
      <charset val="204"/>
    </font>
    <font>
      <u/>
      <sz val="9"/>
      <color rgb="FF000000"/>
      <name val="Tahoma"/>
      <family val="2"/>
      <charset val="204"/>
    </font>
    <font>
      <u/>
      <sz val="8"/>
      <name val="Tahoma"/>
      <family val="2"/>
      <charset val="204"/>
    </font>
    <font>
      <u/>
      <sz val="1"/>
      <color rgb="FF000000"/>
      <name val="Tahoma"/>
      <family val="2"/>
      <charset val="204"/>
    </font>
    <font>
      <u/>
      <sz val="9"/>
      <color theme="10"/>
      <name val="Tahoma"/>
      <family val="2"/>
      <charset val="204"/>
    </font>
    <font>
      <sz val="9"/>
      <color rgb="FF000000"/>
      <name val="Tahoma"/>
      <family val="2"/>
      <charset val="204"/>
    </font>
    <font>
      <vertAlign val="superscript"/>
      <sz val="10"/>
      <name val="Tahoma"/>
      <family val="2"/>
      <charset val="204"/>
    </font>
    <font>
      <vertAlign val="superscript"/>
      <sz val="9"/>
      <name val="Tahoma"/>
      <family val="2"/>
      <charset val="204"/>
    </font>
    <font>
      <sz val="9"/>
      <color indexed="81"/>
      <name val="Tahoma"/>
      <family val="2"/>
    </font>
    <font>
      <sz val="9"/>
      <color indexed="81"/>
      <name val="Arial"/>
      <family val="2"/>
    </font>
  </fonts>
  <fills count="29">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6" tint="0.39997558519241921"/>
        <bgColor indexed="65"/>
      </patternFill>
    </fill>
    <fill>
      <patternFill patternType="solid">
        <fgColor rgb="FFFFCC99"/>
      </patternFill>
    </fill>
    <fill>
      <patternFill patternType="solid">
        <fgColor rgb="FFFFFFC0"/>
      </patternFill>
    </fill>
    <fill>
      <patternFill patternType="solid">
        <fgColor rgb="FFC0C0C0"/>
      </patternFill>
    </fill>
    <fill>
      <patternFill patternType="solid">
        <fgColor rgb="FFBCBCBC"/>
      </patternFill>
    </fill>
    <fill>
      <patternFill patternType="solid">
        <fgColor rgb="FFFFFFFF"/>
      </patternFill>
    </fill>
    <fill>
      <patternFill patternType="solid">
        <fgColor rgb="FF000000"/>
      </patternFill>
    </fill>
    <fill>
      <patternFill patternType="solid">
        <fgColor rgb="FFD7EAD3"/>
      </patternFill>
    </fill>
    <fill>
      <patternFill patternType="solid">
        <fgColor rgb="FFFFB7B7"/>
      </patternFill>
    </fill>
    <fill>
      <patternFill patternType="lightDown">
        <fgColor rgb="FFC0C0C0"/>
      </patternFill>
    </fill>
    <fill>
      <patternFill patternType="solid">
        <fgColor rgb="FFE3FAFD"/>
      </patternFill>
    </fill>
    <fill>
      <patternFill patternType="solid">
        <fgColor rgb="FFB7E4FF"/>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EAEBEE"/>
      </patternFill>
    </fill>
  </fills>
  <borders count="69">
    <border>
      <left/>
      <right/>
      <top/>
      <bottom/>
      <diagonal/>
    </border>
    <border>
      <left style="thin">
        <color rgb="FFBCBCBC"/>
      </left>
      <right style="thin">
        <color rgb="FFBCBCBC"/>
      </right>
      <top style="thin">
        <color rgb="FFBCBCBC"/>
      </top>
      <bottom style="thin">
        <color rgb="FFBCBCBC"/>
      </bottom>
      <diagonal/>
    </border>
    <border>
      <left style="thick">
        <color rgb="FFBCBCBC"/>
      </left>
      <right style="thick">
        <color rgb="FFBCBCBC"/>
      </right>
      <top style="thick">
        <color rgb="FFBCBCBC"/>
      </top>
      <bottom style="thick">
        <color rgb="FFBCBCBC"/>
      </bottom>
      <diagonal/>
    </border>
    <border>
      <left style="thin">
        <color rgb="FF000000"/>
      </left>
      <right style="thin">
        <color rgb="FF000000"/>
      </right>
      <top style="thin">
        <color rgb="FF000000"/>
      </top>
      <bottom style="thin">
        <color rgb="FF000000"/>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style="thin">
        <color rgb="FFC0C0C0"/>
      </left>
      <right/>
      <top/>
      <bottom style="thin">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style="thin">
        <color theme="0" tint="-0.249977111117893"/>
      </right>
      <top style="thin">
        <color rgb="FFC0C0C0"/>
      </top>
      <bottom style="medium">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rgb="FFC0C0C0"/>
      </left>
      <right style="thin">
        <color rgb="FFC0C0C0"/>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right style="thin">
        <color rgb="FFC0C0C0"/>
      </right>
      <top style="thin">
        <color rgb="FFC0C0C0"/>
      </top>
      <bottom style="medium">
        <color rgb="FFC0C0C0"/>
      </bottom>
      <diagonal/>
    </border>
  </borders>
  <cellStyleXfs count="37">
    <xf numFmtId="49" fontId="0" fillId="0" borderId="0" applyFill="0" applyBorder="0">
      <alignment vertical="top"/>
    </xf>
    <xf numFmtId="0" fontId="4" fillId="0" borderId="0" applyFill="0" applyBorder="0">
      <alignment vertical="top"/>
    </xf>
    <xf numFmtId="0" fontId="5" fillId="0" borderId="0" applyFill="0" applyBorder="0"/>
    <xf numFmtId="166" fontId="5" fillId="0" borderId="0" applyFill="0" applyBorder="0"/>
    <xf numFmtId="38" fontId="6" fillId="0" borderId="0" applyFill="0" applyBorder="0">
      <alignment vertical="top"/>
    </xf>
    <xf numFmtId="0" fontId="7" fillId="0" borderId="1" applyFill="0">
      <alignment vertical="top"/>
      <protection locked="0"/>
    </xf>
    <xf numFmtId="167" fontId="8" fillId="6" borderId="0" applyBorder="0">
      <protection locked="0"/>
    </xf>
    <xf numFmtId="0" fontId="9" fillId="0" borderId="0" applyFill="0" applyBorder="0">
      <alignment vertical="center"/>
    </xf>
    <xf numFmtId="168" fontId="8" fillId="6" borderId="0" applyBorder="0">
      <protection locked="0"/>
    </xf>
    <xf numFmtId="169" fontId="8" fillId="6" borderId="0" applyBorder="0">
      <protection locked="0"/>
    </xf>
    <xf numFmtId="0" fontId="10" fillId="0" borderId="0" applyFill="0" applyBorder="0">
      <alignment vertical="top"/>
    </xf>
    <xf numFmtId="0" fontId="7" fillId="7" borderId="1">
      <alignment vertical="top"/>
    </xf>
    <xf numFmtId="0" fontId="11" fillId="0" borderId="0" applyFill="0" applyBorder="0"/>
    <xf numFmtId="0" fontId="12" fillId="8" borderId="2">
      <alignment horizontal="center" vertical="center"/>
    </xf>
    <xf numFmtId="0" fontId="3" fillId="5" borderId="1">
      <alignment vertical="top"/>
    </xf>
    <xf numFmtId="0" fontId="13" fillId="0" borderId="0" applyFill="0" applyBorder="0">
      <alignment vertical="top"/>
    </xf>
    <xf numFmtId="0" fontId="14" fillId="0" borderId="0" applyFill="0" applyBorder="0">
      <alignment vertical="top"/>
    </xf>
    <xf numFmtId="0" fontId="15" fillId="0" borderId="0" applyFill="0" applyBorder="0">
      <alignment vertical="top"/>
    </xf>
    <xf numFmtId="0" fontId="16" fillId="0" borderId="0" applyFill="0" applyBorder="0">
      <alignment vertical="top"/>
    </xf>
    <xf numFmtId="0" fontId="17" fillId="0" borderId="0" applyFill="0" applyBorder="0">
      <alignment vertical="top"/>
    </xf>
    <xf numFmtId="0" fontId="2" fillId="9" borderId="1" applyFont="0">
      <alignment vertical="top"/>
    </xf>
    <xf numFmtId="0" fontId="18" fillId="0" borderId="0" applyFill="0" applyBorder="0">
      <alignment horizontal="center" vertical="center" wrapText="1"/>
    </xf>
    <xf numFmtId="0" fontId="19" fillId="0" borderId="0" applyFill="0" applyBorder="0">
      <alignment horizontal="center" vertical="center" wrapText="1"/>
    </xf>
    <xf numFmtId="4" fontId="8" fillId="6" borderId="0" applyBorder="0">
      <alignment horizontal="right"/>
    </xf>
    <xf numFmtId="49" fontId="8" fillId="0" borderId="0" applyFill="0" applyBorder="0">
      <alignment vertical="top"/>
    </xf>
    <xf numFmtId="0" fontId="1" fillId="0" borderId="0" applyFill="0" applyBorder="0"/>
    <xf numFmtId="0" fontId="20" fillId="0" borderId="0" applyFill="0" applyBorder="0"/>
    <xf numFmtId="49" fontId="120" fillId="0" borderId="0" applyFill="0" applyBorder="0">
      <alignment vertical="top"/>
    </xf>
    <xf numFmtId="0" fontId="21" fillId="0" borderId="0" applyFill="0" applyBorder="0"/>
    <xf numFmtId="0" fontId="120" fillId="10" borderId="0" applyBorder="0">
      <alignment vertical="top"/>
    </xf>
    <xf numFmtId="49" fontId="120" fillId="9" borderId="0" applyBorder="0">
      <alignment vertical="top"/>
    </xf>
    <xf numFmtId="49" fontId="8" fillId="10" borderId="0" applyBorder="0">
      <alignment vertical="top"/>
    </xf>
    <xf numFmtId="0" fontId="22" fillId="0" borderId="0" applyFill="0" applyBorder="0"/>
    <xf numFmtId="0" fontId="8" fillId="0" borderId="0" applyFill="0" applyBorder="0">
      <alignment horizontal="left" vertical="center"/>
    </xf>
    <xf numFmtId="0" fontId="23" fillId="0" borderId="0" applyFill="0" applyBorder="0"/>
    <xf numFmtId="0" fontId="24" fillId="0" borderId="0" applyFill="0" applyBorder="0">
      <alignment vertical="top"/>
    </xf>
    <xf numFmtId="4" fontId="8" fillId="11" borderId="0" applyBorder="0">
      <alignment horizontal="right"/>
    </xf>
  </cellStyleXfs>
  <cellXfs count="1525">
    <xf numFmtId="49" fontId="0" fillId="0" borderId="0" xfId="0">
      <alignment vertical="top"/>
    </xf>
    <xf numFmtId="0" fontId="7" fillId="20" borderId="54" xfId="0" applyNumberFormat="1" applyFont="1" applyFill="1" applyBorder="1" applyAlignment="1">
      <alignment horizontal="right" vertical="center" wrapText="1" indent="1"/>
    </xf>
    <xf numFmtId="0" fontId="7" fillId="20" borderId="61" xfId="0" applyNumberFormat="1" applyFont="1" applyFill="1" applyBorder="1" applyAlignment="1">
      <alignment horizontal="right" vertical="center" wrapText="1" indent="1"/>
    </xf>
    <xf numFmtId="49" fontId="120" fillId="9" borderId="0" xfId="30">
      <alignment vertical="top"/>
    </xf>
    <xf numFmtId="0" fontId="19" fillId="0" borderId="0" xfId="0" applyNumberFormat="1" applyFont="1" applyAlignment="1">
      <alignment horizontal="center" vertical="center" wrapText="1"/>
    </xf>
    <xf numFmtId="0" fontId="1" fillId="0" borderId="0" xfId="0" applyNumberFormat="1" applyFont="1" applyAlignment="1"/>
    <xf numFmtId="0" fontId="21" fillId="0" borderId="0" xfId="0" applyNumberFormat="1" applyFont="1" applyAlignment="1"/>
    <xf numFmtId="0" fontId="8" fillId="0" borderId="0" xfId="0" applyNumberFormat="1" applyFont="1" applyAlignment="1">
      <alignment vertical="top" wrapText="1"/>
    </xf>
    <xf numFmtId="49" fontId="8" fillId="11" borderId="3" xfId="0" applyFont="1" applyFill="1" applyBorder="1" applyAlignment="1">
      <alignment horizontal="center" vertical="top"/>
    </xf>
    <xf numFmtId="0" fontId="8" fillId="0" borderId="0" xfId="0" applyNumberFormat="1" applyFont="1" applyAlignment="1"/>
    <xf numFmtId="0" fontId="8" fillId="9" borderId="0" xfId="0" applyNumberFormat="1" applyFont="1" applyFill="1" applyAlignment="1"/>
    <xf numFmtId="0" fontId="25" fillId="0" borderId="0" xfId="33" applyFont="1" applyAlignment="1">
      <alignment vertical="center" wrapText="1"/>
    </xf>
    <xf numFmtId="0" fontId="26" fillId="0" borderId="0" xfId="33" applyFont="1" applyAlignment="1">
      <alignment vertical="center" wrapText="1"/>
    </xf>
    <xf numFmtId="0" fontId="8" fillId="9" borderId="0" xfId="33" applyFill="1" applyAlignment="1">
      <alignment vertical="center" wrapText="1"/>
    </xf>
    <xf numFmtId="0" fontId="8" fillId="0" borderId="0" xfId="33" applyAlignment="1">
      <alignment vertical="center" wrapText="1"/>
    </xf>
    <xf numFmtId="0" fontId="27" fillId="9" borderId="0" xfId="33" applyFont="1" applyFill="1" applyAlignment="1">
      <alignment vertical="center" wrapText="1"/>
    </xf>
    <xf numFmtId="0" fontId="8" fillId="9" borderId="0" xfId="33" applyFill="1" applyAlignment="1">
      <alignment horizontal="right" vertical="center" wrapText="1" indent="1"/>
    </xf>
    <xf numFmtId="0" fontId="8" fillId="9" borderId="0" xfId="33" applyFill="1" applyAlignment="1">
      <alignment horizontal="center" vertical="center" wrapText="1"/>
    </xf>
    <xf numFmtId="0" fontId="26" fillId="0" borderId="0" xfId="33" applyFont="1" applyAlignment="1">
      <alignment horizontal="center" vertical="center" wrapText="1"/>
    </xf>
    <xf numFmtId="0" fontId="28" fillId="9" borderId="0" xfId="33" applyFont="1" applyFill="1" applyAlignment="1">
      <alignment horizontal="center" vertical="center" wrapText="1"/>
    </xf>
    <xf numFmtId="0" fontId="8" fillId="0" borderId="0" xfId="33" applyAlignment="1">
      <alignment vertical="center"/>
    </xf>
    <xf numFmtId="49" fontId="8" fillId="9" borderId="0" xfId="33" applyNumberFormat="1" applyFill="1" applyAlignment="1">
      <alignment horizontal="right" vertical="center" wrapText="1" indent="1"/>
    </xf>
    <xf numFmtId="49" fontId="27" fillId="9" borderId="0" xfId="33" applyNumberFormat="1" applyFont="1" applyFill="1" applyAlignment="1">
      <alignment horizontal="center" vertical="center" wrapText="1"/>
    </xf>
    <xf numFmtId="49" fontId="0" fillId="12" borderId="0" xfId="0" applyFill="1">
      <alignment vertical="top"/>
    </xf>
    <xf numFmtId="0" fontId="8" fillId="0" borderId="0" xfId="0" applyNumberFormat="1" applyFont="1" applyAlignment="1">
      <alignment vertical="center" wrapText="1"/>
    </xf>
    <xf numFmtId="0" fontId="8" fillId="9" borderId="0" xfId="0" applyNumberFormat="1" applyFont="1" applyFill="1" applyAlignment="1">
      <alignment vertical="center" wrapText="1"/>
    </xf>
    <xf numFmtId="0" fontId="8" fillId="9" borderId="0" xfId="0" applyNumberFormat="1" applyFont="1" applyFill="1" applyAlignment="1">
      <alignment horizontal="right" vertical="center" wrapText="1"/>
    </xf>
    <xf numFmtId="49" fontId="0" fillId="9" borderId="0" xfId="33" applyNumberFormat="1" applyFont="1" applyFill="1" applyAlignment="1">
      <alignment horizontal="right" vertical="center" wrapText="1" indent="1"/>
    </xf>
    <xf numFmtId="49" fontId="29" fillId="9" borderId="0" xfId="0" applyFont="1" applyFill="1" applyAlignment="1">
      <alignment horizontal="center" vertical="center" wrapText="1"/>
    </xf>
    <xf numFmtId="0" fontId="30" fillId="9" borderId="0" xfId="0" applyNumberFormat="1" applyFont="1" applyFill="1" applyAlignment="1">
      <alignment horizontal="center" vertical="center" wrapText="1"/>
    </xf>
    <xf numFmtId="0" fontId="30" fillId="9" borderId="0" xfId="0" applyNumberFormat="1" applyFont="1" applyFill="1" applyAlignment="1">
      <alignment horizontal="center"/>
    </xf>
    <xf numFmtId="0" fontId="30" fillId="0" borderId="0" xfId="0" applyNumberFormat="1" applyFont="1" applyAlignment="1">
      <alignment horizontal="center" vertical="center"/>
    </xf>
    <xf numFmtId="0" fontId="30" fillId="9" borderId="0" xfId="0" applyNumberFormat="1" applyFont="1" applyFill="1" applyAlignment="1">
      <alignment horizontal="center" vertical="center"/>
    </xf>
    <xf numFmtId="49" fontId="31" fillId="0" borderId="1" xfId="0" applyFont="1" applyBorder="1" applyAlignment="1">
      <alignment vertical="top" wrapText="1"/>
    </xf>
    <xf numFmtId="0" fontId="0" fillId="0" borderId="1" xfId="0" applyNumberFormat="1" applyBorder="1" applyAlignment="1">
      <alignment vertical="top" wrapText="1"/>
    </xf>
    <xf numFmtId="0" fontId="8" fillId="9" borderId="0" xfId="0" applyNumberFormat="1" applyFont="1" applyFill="1" applyAlignment="1">
      <alignment horizontal="center" vertical="center" wrapText="1"/>
    </xf>
    <xf numFmtId="0" fontId="32" fillId="9" borderId="0" xfId="0" applyNumberFormat="1" applyFont="1" applyFill="1" applyAlignment="1">
      <alignment vertical="center" wrapText="1"/>
    </xf>
    <xf numFmtId="0" fontId="32" fillId="0" borderId="0" xfId="0" applyNumberFormat="1" applyFont="1" applyAlignment="1">
      <alignment vertical="center" wrapText="1"/>
    </xf>
    <xf numFmtId="0" fontId="25" fillId="0" borderId="0" xfId="33" applyFont="1" applyAlignment="1">
      <alignment horizontal="left" vertical="center" wrapText="1"/>
    </xf>
    <xf numFmtId="49" fontId="25" fillId="0" borderId="0" xfId="33" applyNumberFormat="1" applyFont="1" applyAlignment="1">
      <alignment horizontal="left" vertical="center" wrapText="1"/>
    </xf>
    <xf numFmtId="0" fontId="0" fillId="0" borderId="0" xfId="0" applyNumberFormat="1">
      <alignment vertical="top"/>
    </xf>
    <xf numFmtId="49" fontId="0" fillId="0" borderId="0" xfId="0" applyAlignment="1">
      <alignment horizontal="left" vertical="top"/>
    </xf>
    <xf numFmtId="49" fontId="8" fillId="0" borderId="0" xfId="0" applyFont="1" applyAlignment="1">
      <alignment vertical="center" wrapText="1"/>
    </xf>
    <xf numFmtId="49" fontId="8" fillId="0" borderId="0" xfId="0" applyFont="1">
      <alignment vertical="top"/>
    </xf>
    <xf numFmtId="0" fontId="0" fillId="0" borderId="0" xfId="0" applyNumberFormat="1" applyAlignment="1">
      <alignment vertical="center"/>
    </xf>
    <xf numFmtId="0" fontId="8" fillId="9" borderId="4" xfId="0" applyNumberFormat="1" applyFont="1" applyFill="1" applyBorder="1" applyAlignment="1">
      <alignment horizontal="center" vertical="center" wrapText="1"/>
    </xf>
    <xf numFmtId="49" fontId="8" fillId="6" borderId="4" xfId="0" applyFont="1" applyFill="1" applyBorder="1" applyAlignment="1" applyProtection="1">
      <alignment horizontal="left" vertical="center" wrapText="1"/>
      <protection locked="0"/>
    </xf>
    <xf numFmtId="49" fontId="33" fillId="13" borderId="5" xfId="0" applyFont="1" applyFill="1" applyBorder="1" applyAlignment="1">
      <alignment horizontal="left" vertical="center"/>
    </xf>
    <xf numFmtId="0" fontId="0" fillId="0" borderId="4" xfId="0" applyNumberFormat="1" applyBorder="1" applyAlignment="1">
      <alignment horizontal="center" vertical="center" wrapText="1"/>
    </xf>
    <xf numFmtId="0" fontId="8" fillId="13" borderId="6" xfId="0" applyNumberFormat="1" applyFont="1" applyFill="1" applyBorder="1" applyAlignment="1">
      <alignment vertical="center" wrapText="1"/>
    </xf>
    <xf numFmtId="0" fontId="8" fillId="0" borderId="4" xfId="0" applyNumberFormat="1" applyFont="1" applyBorder="1" applyAlignment="1">
      <alignment horizontal="center" vertical="center" wrapText="1"/>
    </xf>
    <xf numFmtId="0" fontId="34" fillId="0" borderId="0" xfId="0" applyNumberFormat="1" applyFont="1" applyAlignment="1">
      <alignment vertical="center"/>
    </xf>
    <xf numFmtId="49" fontId="8" fillId="0" borderId="4" xfId="0" applyFont="1" applyBorder="1" applyAlignment="1">
      <alignment horizontal="center" vertical="center" wrapText="1"/>
    </xf>
    <xf numFmtId="0" fontId="8" fillId="9" borderId="4" xfId="0" applyNumberFormat="1" applyFont="1" applyFill="1" applyBorder="1" applyAlignment="1">
      <alignment horizontal="center" vertical="center"/>
    </xf>
    <xf numFmtId="0" fontId="25" fillId="0" borderId="0" xfId="0" applyNumberFormat="1" applyFont="1" applyAlignment="1">
      <alignment vertical="center" wrapText="1"/>
    </xf>
    <xf numFmtId="0" fontId="35" fillId="0" borderId="0" xfId="0" applyNumberFormat="1" applyFont="1" applyAlignment="1">
      <alignment vertical="center" wrapText="1"/>
    </xf>
    <xf numFmtId="49" fontId="25" fillId="0" borderId="0" xfId="0" applyFont="1">
      <alignment vertical="top"/>
    </xf>
    <xf numFmtId="49" fontId="30" fillId="0" borderId="0" xfId="0" applyFont="1" applyAlignment="1">
      <alignment horizontal="center" vertical="center"/>
    </xf>
    <xf numFmtId="0" fontId="36" fillId="9" borderId="0" xfId="0" applyNumberFormat="1" applyFont="1" applyFill="1" applyAlignment="1">
      <alignment horizontal="center" vertical="center" wrapText="1"/>
    </xf>
    <xf numFmtId="0" fontId="25" fillId="9" borderId="0" xfId="0" applyNumberFormat="1" applyFont="1" applyFill="1" applyAlignment="1"/>
    <xf numFmtId="49" fontId="30" fillId="0" borderId="0" xfId="0" applyFont="1" applyAlignment="1">
      <alignment horizontal="center" vertical="center" wrapText="1"/>
    </xf>
    <xf numFmtId="49" fontId="37" fillId="13" borderId="7" xfId="0" applyFont="1" applyFill="1" applyBorder="1" applyAlignment="1">
      <alignment horizontal="center" vertical="top"/>
    </xf>
    <xf numFmtId="49" fontId="33" fillId="13" borderId="7" xfId="0" applyFont="1" applyFill="1" applyBorder="1" applyAlignment="1">
      <alignment horizontal="left" vertical="center"/>
    </xf>
    <xf numFmtId="49" fontId="8" fillId="0" borderId="0" xfId="0" applyFont="1" applyAlignment="1">
      <alignment horizontal="center" vertical="top"/>
    </xf>
    <xf numFmtId="0" fontId="0" fillId="0" borderId="0" xfId="33" applyFont="1" applyAlignment="1">
      <alignment horizontal="center" vertical="center" wrapText="1"/>
    </xf>
    <xf numFmtId="49" fontId="8" fillId="0" borderId="0" xfId="33" applyNumberFormat="1" applyAlignment="1">
      <alignment horizontal="center" vertical="center" wrapText="1"/>
    </xf>
    <xf numFmtId="49" fontId="38" fillId="0" borderId="0" xfId="0" applyFont="1" applyAlignment="1">
      <alignment horizontal="right" vertical="top"/>
    </xf>
    <xf numFmtId="49" fontId="38" fillId="0" borderId="0" xfId="0" applyFont="1">
      <alignment vertical="top"/>
    </xf>
    <xf numFmtId="0" fontId="8" fillId="0" borderId="0" xfId="0" applyNumberFormat="1" applyFont="1" applyAlignment="1">
      <alignment horizontal="center" vertical="center" wrapText="1"/>
    </xf>
    <xf numFmtId="0" fontId="7" fillId="0" borderId="0" xfId="0" applyNumberFormat="1" applyFont="1" applyAlignment="1">
      <alignment vertical="center" wrapText="1"/>
    </xf>
    <xf numFmtId="49" fontId="8" fillId="0" borderId="8" xfId="0" applyFont="1" applyBorder="1">
      <alignment vertical="top"/>
    </xf>
    <xf numFmtId="49" fontId="39" fillId="0" borderId="0" xfId="0" applyFont="1">
      <alignment vertical="top"/>
    </xf>
    <xf numFmtId="0" fontId="39" fillId="0" borderId="0" xfId="0" applyNumberFormat="1" applyFont="1" applyAlignment="1">
      <alignment vertical="center" wrapText="1"/>
    </xf>
    <xf numFmtId="49" fontId="0" fillId="9" borderId="4" xfId="0" applyFill="1" applyBorder="1" applyAlignment="1">
      <alignment horizontal="center" vertical="center" wrapText="1"/>
    </xf>
    <xf numFmtId="49" fontId="8" fillId="0" borderId="4" xfId="0" applyFont="1" applyBorder="1" applyAlignment="1">
      <alignment horizontal="left" vertical="center" wrapText="1"/>
    </xf>
    <xf numFmtId="0" fontId="8" fillId="9" borderId="9" xfId="0" applyNumberFormat="1" applyFont="1" applyFill="1" applyBorder="1" applyAlignment="1">
      <alignment horizontal="center" vertical="center"/>
    </xf>
    <xf numFmtId="0" fontId="8" fillId="0" borderId="4" xfId="0" applyNumberFormat="1" applyFont="1" applyBorder="1" applyAlignment="1">
      <alignment vertical="center" wrapText="1"/>
    </xf>
    <xf numFmtId="0" fontId="40" fillId="0" borderId="0" xfId="0" applyNumberFormat="1" applyFont="1" applyAlignment="1">
      <alignment vertical="center" wrapText="1"/>
    </xf>
    <xf numFmtId="49" fontId="0" fillId="0" borderId="0" xfId="0" applyAlignment="1">
      <alignment vertical="center"/>
    </xf>
    <xf numFmtId="0" fontId="40" fillId="0" borderId="0" xfId="0" applyNumberFormat="1" applyFont="1" applyAlignment="1">
      <alignment vertical="center"/>
    </xf>
    <xf numFmtId="0" fontId="41" fillId="0" borderId="0" xfId="0" applyNumberFormat="1" applyFont="1" applyAlignment="1">
      <alignment vertical="center"/>
    </xf>
    <xf numFmtId="0" fontId="0" fillId="0" borderId="0" xfId="0" applyNumberFormat="1" applyAlignment="1">
      <alignment vertical="top" wrapText="1"/>
    </xf>
    <xf numFmtId="0" fontId="7" fillId="0" borderId="10" xfId="0" applyNumberFormat="1" applyFont="1" applyBorder="1" applyAlignment="1">
      <alignment vertical="top" wrapText="1"/>
    </xf>
    <xf numFmtId="49" fontId="0" fillId="0" borderId="4" xfId="0" applyBorder="1" applyAlignment="1">
      <alignment vertical="top" wrapText="1"/>
    </xf>
    <xf numFmtId="0" fontId="0" fillId="0" borderId="4" xfId="0" applyNumberFormat="1" applyBorder="1" applyAlignment="1">
      <alignment vertical="top" wrapText="1"/>
    </xf>
    <xf numFmtId="0" fontId="0" fillId="0" borderId="0" xfId="0" applyNumberFormat="1" applyAlignment="1"/>
    <xf numFmtId="0" fontId="30" fillId="0" borderId="0" xfId="0" applyNumberFormat="1" applyFont="1" applyAlignment="1">
      <alignment horizontal="center" vertical="center" wrapText="1"/>
    </xf>
    <xf numFmtId="0" fontId="8" fillId="0" borderId="0" xfId="0" applyNumberFormat="1" applyFont="1" applyAlignment="1">
      <alignment horizontal="right" vertical="center" wrapText="1"/>
    </xf>
    <xf numFmtId="4" fontId="8" fillId="0" borderId="0" xfId="0" applyNumberFormat="1" applyFont="1" applyAlignment="1">
      <alignment horizontal="right" vertical="center" wrapText="1"/>
    </xf>
    <xf numFmtId="0" fontId="8" fillId="0" borderId="0" xfId="0" applyNumberFormat="1" applyFont="1" applyAlignment="1">
      <alignment horizontal="left" vertical="center" wrapText="1" indent="1"/>
    </xf>
    <xf numFmtId="4" fontId="8" fillId="0" borderId="0" xfId="0" applyNumberFormat="1" applyFont="1" applyAlignment="1">
      <alignment horizontal="center" vertical="center" wrapText="1"/>
    </xf>
    <xf numFmtId="0" fontId="39" fillId="0" borderId="0" xfId="0" applyNumberFormat="1" applyFont="1" applyAlignment="1">
      <alignment vertical="center"/>
    </xf>
    <xf numFmtId="171" fontId="8" fillId="0" borderId="4" xfId="0" applyNumberFormat="1" applyFont="1" applyBorder="1" applyAlignment="1">
      <alignment horizontal="center" vertical="center" wrapText="1"/>
    </xf>
    <xf numFmtId="49" fontId="39" fillId="13" borderId="11" xfId="0" applyFont="1" applyFill="1" applyBorder="1" applyAlignment="1">
      <alignment horizontal="left" vertical="center" wrapText="1"/>
    </xf>
    <xf numFmtId="49" fontId="0" fillId="13" borderId="7" xfId="0" applyFill="1" applyBorder="1" applyAlignment="1">
      <alignment horizontal="left" vertical="center"/>
    </xf>
    <xf numFmtId="49" fontId="39" fillId="13" borderId="12" xfId="0" applyFont="1" applyFill="1" applyBorder="1" applyAlignment="1">
      <alignment horizontal="left" vertical="center" wrapText="1"/>
    </xf>
    <xf numFmtId="0" fontId="29" fillId="0" borderId="0" xfId="0" applyNumberFormat="1" applyFont="1" applyAlignment="1">
      <alignment horizontal="center" vertical="center" wrapText="1"/>
    </xf>
    <xf numFmtId="49" fontId="19" fillId="13" borderId="7" xfId="0" applyFont="1" applyFill="1" applyBorder="1" applyAlignment="1">
      <alignment horizontal="right" vertical="center" wrapText="1"/>
    </xf>
    <xf numFmtId="49" fontId="8" fillId="13" borderId="7" xfId="0" applyFont="1" applyFill="1" applyBorder="1" applyAlignment="1">
      <alignment horizontal="right" vertical="center" wrapText="1"/>
    </xf>
    <xf numFmtId="49" fontId="8" fillId="13" borderId="5" xfId="0" applyFont="1" applyFill="1" applyBorder="1" applyAlignment="1">
      <alignment horizontal="right" vertical="center" wrapText="1"/>
    </xf>
    <xf numFmtId="0" fontId="8" fillId="0" borderId="13" xfId="0" applyNumberFormat="1" applyFont="1" applyBorder="1" applyAlignment="1">
      <alignment vertical="center" wrapText="1"/>
    </xf>
    <xf numFmtId="0" fontId="38" fillId="0" borderId="0" xfId="0" applyNumberFormat="1" applyFont="1" applyAlignment="1">
      <alignment vertical="center" wrapText="1"/>
    </xf>
    <xf numFmtId="0" fontId="42" fillId="0" borderId="0" xfId="0" applyNumberFormat="1" applyFont="1" applyAlignment="1">
      <alignment horizontal="center" vertical="center" wrapText="1"/>
    </xf>
    <xf numFmtId="49" fontId="43" fillId="12" borderId="0" xfId="0" applyFont="1" applyFill="1">
      <alignment vertical="top"/>
    </xf>
    <xf numFmtId="49" fontId="43" fillId="0" borderId="0" xfId="0" applyFont="1">
      <alignment vertical="top"/>
    </xf>
    <xf numFmtId="49" fontId="0" fillId="13" borderId="7" xfId="0" applyFill="1" applyBorder="1" applyAlignment="1">
      <alignment horizontal="right" vertical="center" wrapText="1"/>
    </xf>
    <xf numFmtId="0" fontId="19" fillId="0" borderId="1" xfId="0" applyNumberFormat="1" applyFont="1" applyBorder="1" applyAlignment="1">
      <alignment vertical="center" wrapText="1"/>
    </xf>
    <xf numFmtId="0" fontId="7" fillId="0" borderId="0" xfId="33" applyFont="1" applyAlignment="1">
      <alignment vertical="top" wrapText="1"/>
    </xf>
    <xf numFmtId="0" fontId="8" fillId="0" borderId="1" xfId="0" applyNumberFormat="1" applyFont="1" applyBorder="1" applyAlignment="1">
      <alignment vertical="center" wrapText="1"/>
    </xf>
    <xf numFmtId="0" fontId="8" fillId="9" borderId="0" xfId="0" applyNumberFormat="1" applyFont="1" applyFill="1" applyAlignment="1">
      <alignment horizontal="right" vertical="center"/>
    </xf>
    <xf numFmtId="0" fontId="0" fillId="0" borderId="4" xfId="0" applyNumberFormat="1" applyBorder="1" applyAlignment="1">
      <alignment horizontal="left" vertical="center" wrapText="1" indent="1"/>
    </xf>
    <xf numFmtId="49" fontId="40" fillId="0" borderId="0" xfId="0" applyFont="1">
      <alignment vertical="top"/>
    </xf>
    <xf numFmtId="0" fontId="0" fillId="0" borderId="4" xfId="0" applyNumberFormat="1" applyBorder="1" applyAlignment="1">
      <alignment vertical="center" wrapText="1"/>
    </xf>
    <xf numFmtId="49" fontId="33" fillId="13" borderId="7" xfId="0" applyFont="1" applyFill="1" applyBorder="1" applyAlignment="1">
      <alignment horizontal="left" vertical="center" indent="3"/>
    </xf>
    <xf numFmtId="49" fontId="37" fillId="13" borderId="5" xfId="0" applyFont="1" applyFill="1" applyBorder="1" applyAlignment="1">
      <alignment horizontal="center" vertical="top"/>
    </xf>
    <xf numFmtId="0" fontId="7" fillId="0" borderId="0" xfId="0" applyNumberFormat="1" applyFont="1" applyAlignment="1">
      <alignment horizontal="right" vertical="top" wrapText="1"/>
    </xf>
    <xf numFmtId="49" fontId="33" fillId="13" borderId="7" xfId="0" applyFont="1" applyFill="1" applyBorder="1" applyAlignment="1">
      <alignment horizontal="left" vertical="center" indent="1"/>
    </xf>
    <xf numFmtId="49" fontId="33" fillId="13" borderId="7" xfId="0" applyFont="1" applyFill="1" applyBorder="1" applyAlignment="1">
      <alignment horizontal="left" vertical="center" indent="2"/>
    </xf>
    <xf numFmtId="49" fontId="8" fillId="15" borderId="4" xfId="0" applyFont="1" applyFill="1" applyBorder="1" applyAlignment="1">
      <alignment horizontal="left" vertical="center" wrapText="1"/>
    </xf>
    <xf numFmtId="0" fontId="8" fillId="0" borderId="4" xfId="0" applyNumberFormat="1" applyFont="1" applyBorder="1" applyAlignment="1">
      <alignment vertical="top" wrapText="1"/>
    </xf>
    <xf numFmtId="49" fontId="0" fillId="0" borderId="9" xfId="0" applyBorder="1">
      <alignment vertical="top"/>
    </xf>
    <xf numFmtId="0" fontId="20" fillId="0" borderId="0" xfId="0" applyNumberFormat="1" applyFont="1" applyAlignment="1">
      <alignment vertical="center"/>
    </xf>
    <xf numFmtId="49" fontId="13" fillId="14" borderId="4" xfId="0" applyFont="1" applyFill="1" applyBorder="1" applyAlignment="1" applyProtection="1">
      <alignment horizontal="left" vertical="center" wrapText="1"/>
      <protection locked="0"/>
    </xf>
    <xf numFmtId="0" fontId="0" fillId="11" borderId="4" xfId="33" applyFont="1" applyFill="1" applyBorder="1" applyAlignment="1">
      <alignment horizontal="left" vertical="center" wrapText="1" indent="1"/>
    </xf>
    <xf numFmtId="49" fontId="8" fillId="14" borderId="4" xfId="33" applyNumberFormat="1" applyFill="1" applyBorder="1" applyAlignment="1" applyProtection="1">
      <alignment horizontal="left" vertical="center" wrapText="1" indent="1"/>
      <protection locked="0"/>
    </xf>
    <xf numFmtId="49" fontId="8" fillId="11" borderId="4" xfId="33" applyNumberFormat="1" applyFill="1" applyBorder="1" applyAlignment="1">
      <alignment horizontal="left" vertical="center" wrapText="1" indent="1"/>
    </xf>
    <xf numFmtId="49" fontId="8" fillId="0" borderId="4" xfId="33" applyNumberFormat="1" applyBorder="1" applyAlignment="1">
      <alignment horizontal="left" vertical="center" wrapText="1" indent="1"/>
    </xf>
    <xf numFmtId="0" fontId="40" fillId="0" borderId="0" xfId="0" applyNumberFormat="1" applyFont="1" applyAlignment="1">
      <alignment horizontal="center" vertical="center" wrapText="1"/>
    </xf>
    <xf numFmtId="0" fontId="0" fillId="0" borderId="4" xfId="0" applyNumberFormat="1" applyBorder="1" applyAlignment="1">
      <alignment horizontal="left" vertical="center" wrapText="1"/>
    </xf>
    <xf numFmtId="49" fontId="29" fillId="0" borderId="7" xfId="0" applyFont="1" applyBorder="1" applyAlignment="1">
      <alignment horizontal="center" vertical="center" wrapText="1"/>
    </xf>
    <xf numFmtId="0" fontId="44" fillId="0" borderId="0" xfId="0" applyNumberFormat="1" applyFont="1" applyAlignment="1">
      <alignment vertical="center"/>
    </xf>
    <xf numFmtId="0" fontId="45" fillId="0" borderId="0" xfId="0" applyNumberFormat="1" applyFont="1" applyAlignment="1">
      <alignment vertical="center"/>
    </xf>
    <xf numFmtId="0" fontId="40" fillId="0" borderId="0" xfId="0" applyNumberFormat="1" applyFont="1" applyAlignment="1">
      <alignment horizontal="left" vertical="center" wrapText="1" indent="1"/>
    </xf>
    <xf numFmtId="0" fontId="39" fillId="0" borderId="0" xfId="0" applyNumberFormat="1" applyFont="1" applyAlignment="1">
      <alignment horizontal="left" vertical="center" wrapText="1" indent="1"/>
    </xf>
    <xf numFmtId="0" fontId="46" fillId="0" borderId="0" xfId="0" applyNumberFormat="1" applyFont="1" applyAlignment="1">
      <alignment horizontal="left" vertical="center" wrapText="1" indent="1"/>
    </xf>
    <xf numFmtId="0" fontId="47" fillId="0" borderId="0" xfId="0" applyNumberFormat="1" applyFont="1" applyAlignment="1">
      <alignment horizontal="left" vertical="center" indent="1"/>
    </xf>
    <xf numFmtId="0" fontId="46" fillId="0" borderId="0" xfId="0" applyNumberFormat="1" applyFont="1" applyAlignment="1">
      <alignment vertical="center" wrapText="1"/>
    </xf>
    <xf numFmtId="0" fontId="48" fillId="0" borderId="0" xfId="33" applyFont="1" applyAlignment="1">
      <alignment horizontal="left" vertical="center" wrapText="1"/>
    </xf>
    <xf numFmtId="0" fontId="49" fillId="0" borderId="0" xfId="33" applyFont="1" applyAlignment="1">
      <alignment vertical="center" wrapText="1"/>
    </xf>
    <xf numFmtId="0" fontId="50" fillId="9" borderId="0" xfId="33" applyFont="1" applyFill="1" applyAlignment="1">
      <alignment vertical="center" wrapText="1"/>
    </xf>
    <xf numFmtId="0" fontId="51" fillId="9" borderId="0" xfId="33" applyFont="1" applyFill="1" applyAlignment="1">
      <alignment horizontal="right" vertical="center" wrapText="1" indent="1"/>
    </xf>
    <xf numFmtId="0" fontId="50" fillId="0" borderId="0" xfId="33" applyFont="1" applyAlignment="1">
      <alignment vertical="center" wrapText="1"/>
    </xf>
    <xf numFmtId="0" fontId="50" fillId="9" borderId="0" xfId="33" applyFont="1" applyFill="1" applyAlignment="1">
      <alignment horizontal="right" vertical="center" wrapText="1" indent="1"/>
    </xf>
    <xf numFmtId="0" fontId="52" fillId="9" borderId="0" xfId="33" applyFont="1" applyFill="1" applyAlignment="1">
      <alignment horizontal="center" vertical="center" wrapText="1"/>
    </xf>
    <xf numFmtId="0" fontId="48" fillId="9" borderId="0" xfId="33" applyFont="1" applyFill="1" applyAlignment="1">
      <alignment horizontal="center" vertical="center" wrapText="1"/>
    </xf>
    <xf numFmtId="0" fontId="50" fillId="9" borderId="0" xfId="33" applyFont="1" applyFill="1" applyAlignment="1">
      <alignment horizontal="left" vertical="center" wrapText="1" indent="1"/>
    </xf>
    <xf numFmtId="0" fontId="53" fillId="0" borderId="0" xfId="33" applyFont="1" applyAlignment="1">
      <alignment horizontal="left" vertical="center" wrapText="1"/>
    </xf>
    <xf numFmtId="0" fontId="53" fillId="0" borderId="0" xfId="33" applyFont="1" applyAlignment="1">
      <alignment vertical="center" wrapText="1"/>
    </xf>
    <xf numFmtId="0" fontId="50" fillId="0" borderId="0" xfId="33" applyFont="1" applyAlignment="1">
      <alignment horizontal="right" vertical="center"/>
    </xf>
    <xf numFmtId="0" fontId="0" fillId="0" borderId="0" xfId="0" applyNumberFormat="1" applyAlignment="1">
      <alignment horizontal="left" vertical="center" indent="1"/>
    </xf>
    <xf numFmtId="0" fontId="40" fillId="0" borderId="0" xfId="0" applyNumberFormat="1" applyFont="1" applyAlignment="1">
      <alignment horizontal="left" vertical="center" indent="1"/>
    </xf>
    <xf numFmtId="0" fontId="40" fillId="0" borderId="14" xfId="0" applyNumberFormat="1" applyFont="1" applyBorder="1" applyAlignment="1">
      <alignment vertical="center"/>
    </xf>
    <xf numFmtId="0" fontId="0" fillId="0" borderId="4" xfId="0" applyNumberFormat="1" applyBorder="1" applyAlignment="1">
      <alignment horizontal="center" vertical="center"/>
    </xf>
    <xf numFmtId="49" fontId="0" fillId="0" borderId="4" xfId="0" applyBorder="1" applyAlignment="1">
      <alignment horizontal="center" vertical="center"/>
    </xf>
    <xf numFmtId="49" fontId="0" fillId="0" borderId="4" xfId="0" applyBorder="1" applyAlignment="1">
      <alignment horizontal="left" vertical="center"/>
    </xf>
    <xf numFmtId="0" fontId="8" fillId="0" borderId="0" xfId="0" applyNumberFormat="1" applyFont="1" applyAlignment="1">
      <alignment horizontal="left" vertical="center" wrapText="1" indent="2"/>
    </xf>
    <xf numFmtId="0" fontId="8" fillId="0" borderId="4" xfId="0" applyNumberFormat="1" applyFont="1" applyBorder="1" applyAlignment="1">
      <alignment horizontal="left" vertical="top" wrapText="1"/>
    </xf>
    <xf numFmtId="0" fontId="8" fillId="0" borderId="4" xfId="0" applyNumberFormat="1" applyFont="1" applyBorder="1" applyAlignment="1">
      <alignment horizontal="left" vertical="center" wrapText="1"/>
    </xf>
    <xf numFmtId="49" fontId="8" fillId="0" borderId="9" xfId="0" applyFont="1" applyBorder="1" applyAlignment="1">
      <alignment horizontal="left" vertical="center" wrapText="1"/>
    </xf>
    <xf numFmtId="49" fontId="19" fillId="13" borderId="6" xfId="0" applyFont="1" applyFill="1" applyBorder="1" applyAlignment="1">
      <alignment horizontal="center" vertical="center"/>
    </xf>
    <xf numFmtId="0" fontId="54" fillId="0" borderId="0" xfId="0" applyNumberFormat="1" applyFont="1" applyAlignment="1">
      <alignment vertical="center" wrapText="1"/>
    </xf>
    <xf numFmtId="0" fontId="54" fillId="0" borderId="0" xfId="0" applyNumberFormat="1" applyFont="1" applyAlignment="1"/>
    <xf numFmtId="49" fontId="55" fillId="0" borderId="0" xfId="0" applyFont="1">
      <alignment vertical="top"/>
    </xf>
    <xf numFmtId="49" fontId="56" fillId="0" borderId="0" xfId="0" applyFont="1">
      <alignment vertical="top"/>
    </xf>
    <xf numFmtId="0" fontId="8" fillId="0" borderId="0" xfId="33" applyAlignment="1">
      <alignment horizontal="center" vertical="center" wrapText="1"/>
    </xf>
    <xf numFmtId="49" fontId="8" fillId="14" borderId="4" xfId="0" applyFont="1" applyFill="1" applyBorder="1" applyAlignment="1" applyProtection="1">
      <alignment horizontal="left" vertical="center" wrapText="1" indent="1"/>
      <protection locked="0"/>
    </xf>
    <xf numFmtId="0" fontId="40" fillId="0" borderId="0" xfId="0" applyNumberFormat="1" applyFont="1">
      <alignment vertical="top"/>
    </xf>
    <xf numFmtId="49" fontId="8" fillId="0" borderId="4" xfId="0" applyFont="1" applyBorder="1" applyAlignment="1">
      <alignment horizontal="right" vertical="center"/>
    </xf>
    <xf numFmtId="0" fontId="57" fillId="0" borderId="0" xfId="0" applyNumberFormat="1" applyFont="1" applyAlignment="1">
      <alignment vertical="center"/>
    </xf>
    <xf numFmtId="0" fontId="7" fillId="0" borderId="0" xfId="0" applyNumberFormat="1" applyFont="1" applyAlignment="1">
      <alignment horizontal="center" vertical="center" wrapText="1"/>
    </xf>
    <xf numFmtId="0" fontId="0" fillId="0" borderId="0" xfId="0" applyNumberFormat="1" applyAlignment="1">
      <alignment horizontal="center" vertical="center"/>
    </xf>
    <xf numFmtId="0" fontId="58" fillId="0" borderId="0" xfId="0" applyNumberFormat="1" applyFont="1" applyAlignment="1">
      <alignment vertical="center"/>
    </xf>
    <xf numFmtId="0" fontId="8" fillId="9" borderId="4" xfId="0" applyNumberFormat="1" applyFont="1" applyFill="1" applyBorder="1" applyAlignment="1">
      <alignment horizontal="left" vertical="center" wrapText="1" indent="4"/>
    </xf>
    <xf numFmtId="0" fontId="8" fillId="9" borderId="4" xfId="0" applyNumberFormat="1" applyFont="1" applyFill="1" applyBorder="1" applyAlignment="1">
      <alignment horizontal="left" vertical="center" wrapText="1" indent="5"/>
    </xf>
    <xf numFmtId="49" fontId="33" fillId="13" borderId="7" xfId="0" applyFont="1" applyFill="1" applyBorder="1" applyAlignment="1">
      <alignment horizontal="left" vertical="center" indent="5"/>
    </xf>
    <xf numFmtId="49" fontId="33" fillId="13" borderId="7" xfId="0" applyFont="1" applyFill="1" applyBorder="1" applyAlignment="1">
      <alignment horizontal="left" vertical="center" indent="6"/>
    </xf>
    <xf numFmtId="0" fontId="59" fillId="9" borderId="0" xfId="0" applyNumberFormat="1" applyFont="1" applyFill="1" applyAlignment="1">
      <alignment vertical="center" wrapText="1"/>
    </xf>
    <xf numFmtId="49" fontId="33" fillId="13" borderId="6" xfId="0" applyFont="1" applyFill="1" applyBorder="1" applyAlignment="1">
      <alignment horizontal="left" vertical="center" indent="1"/>
    </xf>
    <xf numFmtId="0" fontId="0" fillId="9" borderId="4" xfId="33" applyFont="1" applyFill="1" applyBorder="1" applyAlignment="1">
      <alignment horizontal="right" vertical="center" wrapText="1" indent="1"/>
    </xf>
    <xf numFmtId="0" fontId="8" fillId="0" borderId="4" xfId="0" applyNumberFormat="1" applyFont="1" applyBorder="1" applyAlignment="1">
      <alignment horizontal="left" vertical="center" wrapText="1" indent="6"/>
    </xf>
    <xf numFmtId="0" fontId="8" fillId="0" borderId="9" xfId="0" applyNumberFormat="1" applyFont="1" applyBorder="1" applyAlignment="1">
      <alignment vertical="center" wrapText="1"/>
    </xf>
    <xf numFmtId="0" fontId="8" fillId="0" borderId="15" xfId="0" applyNumberFormat="1" applyFont="1" applyBorder="1" applyAlignment="1">
      <alignment vertical="center" wrapText="1"/>
    </xf>
    <xf numFmtId="49" fontId="0" fillId="13" borderId="5" xfId="0" applyFill="1" applyBorder="1" applyAlignment="1">
      <alignment horizontal="center" vertical="center" wrapText="1"/>
    </xf>
    <xf numFmtId="0" fontId="0" fillId="0" borderId="6" xfId="0" applyNumberFormat="1" applyBorder="1" applyAlignment="1">
      <alignment vertical="center"/>
    </xf>
    <xf numFmtId="168" fontId="0" fillId="14" borderId="4" xfId="0" applyNumberFormat="1" applyFill="1" applyBorder="1" applyAlignment="1" applyProtection="1">
      <alignment horizontal="right" vertical="center"/>
      <protection locked="0"/>
    </xf>
    <xf numFmtId="0" fontId="0" fillId="9" borderId="6" xfId="33" applyFont="1" applyFill="1" applyBorder="1" applyAlignment="1">
      <alignment horizontal="right" vertical="center" wrapText="1" indent="1"/>
    </xf>
    <xf numFmtId="49" fontId="60" fillId="13" borderId="6" xfId="0" applyFont="1" applyFill="1" applyBorder="1" applyAlignment="1">
      <alignment horizontal="center" vertical="center"/>
    </xf>
    <xf numFmtId="0" fontId="8" fillId="9" borderId="4" xfId="0" applyNumberFormat="1" applyFont="1" applyFill="1" applyBorder="1" applyAlignment="1">
      <alignment horizontal="left" vertical="center" wrapText="1" indent="1"/>
    </xf>
    <xf numFmtId="0" fontId="8" fillId="9" borderId="4" xfId="0" applyNumberFormat="1" applyFont="1" applyFill="1" applyBorder="1" applyAlignment="1">
      <alignment horizontal="left" vertical="center" wrapText="1" indent="2"/>
    </xf>
    <xf numFmtId="0" fontId="8" fillId="9" borderId="4" xfId="0" applyNumberFormat="1" applyFont="1" applyFill="1" applyBorder="1" applyAlignment="1">
      <alignment horizontal="left" vertical="center" wrapText="1" indent="3"/>
    </xf>
    <xf numFmtId="0" fontId="8" fillId="0" borderId="4" xfId="0" applyNumberFormat="1" applyFont="1" applyBorder="1" applyAlignment="1">
      <alignment horizontal="left" vertical="center" wrapText="1" indent="4"/>
    </xf>
    <xf numFmtId="49" fontId="33" fillId="13" borderId="6" xfId="0" applyFont="1" applyFill="1" applyBorder="1" applyAlignment="1">
      <alignment vertical="center" wrapText="1"/>
    </xf>
    <xf numFmtId="49" fontId="33" fillId="13" borderId="7" xfId="0" applyFont="1" applyFill="1" applyBorder="1" applyAlignment="1">
      <alignment vertical="center"/>
    </xf>
    <xf numFmtId="49" fontId="33" fillId="13" borderId="7" xfId="0" applyFont="1" applyFill="1" applyBorder="1" applyAlignment="1">
      <alignment vertical="center" wrapText="1"/>
    </xf>
    <xf numFmtId="49" fontId="8" fillId="0" borderId="4" xfId="0" applyFont="1" applyBorder="1" applyAlignment="1">
      <alignment vertical="center" wrapText="1"/>
    </xf>
    <xf numFmtId="49" fontId="33" fillId="13" borderId="6" xfId="0" applyFont="1" applyFill="1" applyBorder="1" applyAlignment="1">
      <alignment horizontal="left" vertical="center"/>
    </xf>
    <xf numFmtId="49" fontId="0" fillId="0" borderId="4" xfId="0" applyBorder="1" applyAlignment="1">
      <alignment vertical="center" wrapText="1"/>
    </xf>
    <xf numFmtId="0" fontId="0" fillId="13" borderId="7" xfId="0" applyNumberFormat="1" applyFill="1" applyBorder="1" applyAlignment="1">
      <alignment vertical="center"/>
    </xf>
    <xf numFmtId="0" fontId="33" fillId="13" borderId="6" xfId="0" applyNumberFormat="1" applyFont="1" applyFill="1" applyBorder="1" applyAlignment="1">
      <alignment horizontal="left" vertical="center"/>
    </xf>
    <xf numFmtId="0" fontId="33" fillId="13" borderId="7" xfId="0" applyNumberFormat="1" applyFont="1" applyFill="1" applyBorder="1" applyAlignment="1">
      <alignment horizontal="left" vertical="center"/>
    </xf>
    <xf numFmtId="0" fontId="33" fillId="13" borderId="5" xfId="0" applyNumberFormat="1" applyFont="1" applyFill="1" applyBorder="1" applyAlignment="1">
      <alignment horizontal="left" vertical="center"/>
    </xf>
    <xf numFmtId="0" fontId="0" fillId="0" borderId="0" xfId="33" applyFont="1" applyAlignment="1">
      <alignment horizontal="right" vertical="center" wrapText="1" indent="1"/>
    </xf>
    <xf numFmtId="0" fontId="19" fillId="9" borderId="0" xfId="0" applyNumberFormat="1" applyFont="1" applyFill="1" applyAlignment="1">
      <alignment horizontal="center" vertical="center" wrapText="1"/>
    </xf>
    <xf numFmtId="49" fontId="60" fillId="13" borderId="7" xfId="0" applyFont="1" applyFill="1" applyBorder="1" applyAlignment="1">
      <alignment horizontal="left" vertical="center"/>
    </xf>
    <xf numFmtId="49" fontId="8" fillId="13" borderId="5" xfId="0" applyFont="1" applyFill="1" applyBorder="1" applyAlignment="1">
      <alignment horizontal="center" vertical="center" wrapText="1"/>
    </xf>
    <xf numFmtId="49" fontId="0" fillId="13" borderId="7" xfId="0" applyFill="1" applyBorder="1" applyAlignment="1">
      <alignment horizontal="center" vertical="center" wrapText="1"/>
    </xf>
    <xf numFmtId="49" fontId="61" fillId="0" borderId="6" xfId="0" applyFont="1" applyBorder="1" applyAlignment="1">
      <alignment horizontal="left" vertical="center" wrapText="1"/>
    </xf>
    <xf numFmtId="49" fontId="57" fillId="0" borderId="4" xfId="0" applyFont="1" applyBorder="1" applyAlignment="1">
      <alignment horizontal="center" vertical="center" wrapText="1"/>
    </xf>
    <xf numFmtId="0" fontId="62" fillId="0" borderId="0" xfId="0" applyNumberFormat="1" applyFont="1" applyAlignment="1">
      <alignment vertical="center" wrapText="1"/>
    </xf>
    <xf numFmtId="0" fontId="8" fillId="0" borderId="0" xfId="0" applyNumberFormat="1" applyFont="1">
      <alignment vertical="top"/>
    </xf>
    <xf numFmtId="0" fontId="8" fillId="0" borderId="0" xfId="0" applyNumberFormat="1" applyFont="1" applyAlignment="1">
      <alignment horizontal="right" vertical="top" wrapText="1"/>
    </xf>
    <xf numFmtId="0" fontId="8" fillId="0" borderId="15" xfId="0" applyNumberFormat="1" applyFont="1" applyBorder="1" applyAlignment="1">
      <alignment vertical="top" wrapText="1"/>
    </xf>
    <xf numFmtId="0" fontId="0" fillId="0" borderId="0" xfId="0" applyNumberFormat="1" applyAlignment="1">
      <alignment horizontal="left" vertical="top" wrapText="1"/>
    </xf>
    <xf numFmtId="0" fontId="8" fillId="0" borderId="9" xfId="0" applyNumberFormat="1" applyFont="1" applyBorder="1" applyAlignment="1">
      <alignment vertical="top" wrapText="1"/>
    </xf>
    <xf numFmtId="49" fontId="8" fillId="0" borderId="0" xfId="0" applyFont="1" applyAlignment="1">
      <alignment horizontal="center" vertical="center" wrapText="1"/>
    </xf>
    <xf numFmtId="0" fontId="8" fillId="14" borderId="4" xfId="33" applyFill="1" applyBorder="1" applyAlignment="1" applyProtection="1">
      <alignment horizontal="left" vertical="center" wrapText="1" indent="1"/>
      <protection locked="0"/>
    </xf>
    <xf numFmtId="0" fontId="63" fillId="0" borderId="0" xfId="0" applyNumberFormat="1" applyFont="1" applyAlignment="1">
      <alignment vertical="center" wrapText="1"/>
    </xf>
    <xf numFmtId="0" fontId="35" fillId="9" borderId="0" xfId="0" applyNumberFormat="1" applyFont="1" applyFill="1" applyAlignment="1">
      <alignment horizontal="center" vertical="center" wrapText="1"/>
    </xf>
    <xf numFmtId="0" fontId="8" fillId="0" borderId="16" xfId="0" applyNumberFormat="1" applyFont="1" applyBorder="1" applyAlignment="1">
      <alignment vertical="center" wrapText="1"/>
    </xf>
    <xf numFmtId="0" fontId="30" fillId="0" borderId="0" xfId="0" applyNumberFormat="1" applyFont="1" applyAlignment="1">
      <alignment vertical="center" wrapText="1"/>
    </xf>
    <xf numFmtId="49" fontId="8" fillId="0" borderId="16" xfId="0" applyFont="1" applyBorder="1">
      <alignment vertical="top"/>
    </xf>
    <xf numFmtId="0" fontId="40" fillId="0" borderId="16" xfId="0" applyNumberFormat="1" applyFont="1" applyBorder="1" applyAlignment="1">
      <alignment horizontal="center" vertical="center" wrapText="1"/>
    </xf>
    <xf numFmtId="0" fontId="40" fillId="0" borderId="16" xfId="0" applyNumberFormat="1" applyFont="1" applyBorder="1" applyAlignment="1">
      <alignment vertical="center" wrapText="1"/>
    </xf>
    <xf numFmtId="49" fontId="0" fillId="0" borderId="16" xfId="0" applyBorder="1">
      <alignment vertical="top"/>
    </xf>
    <xf numFmtId="0" fontId="30" fillId="9" borderId="0" xfId="0" applyNumberFormat="1" applyFont="1" applyFill="1" applyAlignment="1">
      <alignment vertical="center" wrapText="1"/>
    </xf>
    <xf numFmtId="0" fontId="25" fillId="0" borderId="0" xfId="0" applyNumberFormat="1" applyFont="1" applyAlignment="1">
      <alignment horizontal="center" vertical="center" wrapText="1"/>
    </xf>
    <xf numFmtId="49" fontId="33" fillId="13" borderId="7" xfId="0" applyFont="1" applyFill="1" applyBorder="1" applyAlignment="1">
      <alignment horizontal="left" vertical="center" indent="4"/>
    </xf>
    <xf numFmtId="49" fontId="8" fillId="0" borderId="0" xfId="0" applyFont="1" applyAlignment="1">
      <alignment vertical="center"/>
    </xf>
    <xf numFmtId="49" fontId="8" fillId="13" borderId="7" xfId="0" applyFont="1" applyFill="1" applyBorder="1" applyAlignment="1">
      <alignment horizontal="center" vertical="center" wrapText="1"/>
    </xf>
    <xf numFmtId="49" fontId="8" fillId="0" borderId="4" xfId="0" applyFont="1" applyBorder="1" applyAlignment="1">
      <alignment horizontal="right" vertical="top"/>
    </xf>
    <xf numFmtId="49" fontId="8" fillId="0" borderId="9" xfId="0" applyFont="1" applyBorder="1" applyAlignment="1">
      <alignment horizontal="right" vertical="top"/>
    </xf>
    <xf numFmtId="49" fontId="32" fillId="0" borderId="0" xfId="0" applyFont="1">
      <alignment vertical="top"/>
    </xf>
    <xf numFmtId="49" fontId="8" fillId="14" borderId="4" xfId="0" applyFont="1" applyFill="1" applyBorder="1" applyAlignment="1" applyProtection="1">
      <alignment horizontal="left" vertical="center" wrapText="1" indent="4"/>
      <protection locked="0"/>
    </xf>
    <xf numFmtId="49" fontId="8" fillId="14" borderId="4" xfId="0" applyFont="1" applyFill="1" applyBorder="1" applyAlignment="1" applyProtection="1">
      <alignment horizontal="left" vertical="center" wrapText="1"/>
      <protection locked="0"/>
    </xf>
    <xf numFmtId="4" fontId="0" fillId="14" borderId="4" xfId="0" applyNumberFormat="1" applyFill="1" applyBorder="1" applyAlignment="1" applyProtection="1">
      <alignment horizontal="right" vertical="center" wrapText="1"/>
      <protection locked="0"/>
    </xf>
    <xf numFmtId="49" fontId="40" fillId="0" borderId="0" xfId="0" applyFont="1" applyAlignment="1">
      <alignment vertical="center" wrapText="1"/>
    </xf>
    <xf numFmtId="49" fontId="40" fillId="0" borderId="0" xfId="0" applyFont="1" applyAlignment="1">
      <alignment vertical="center"/>
    </xf>
    <xf numFmtId="49" fontId="0" fillId="0" borderId="17" xfId="0" applyBorder="1" applyAlignment="1">
      <alignment horizontal="center" vertical="center"/>
    </xf>
    <xf numFmtId="49" fontId="13" fillId="14" borderId="6" xfId="0" applyFont="1" applyFill="1" applyBorder="1" applyAlignment="1" applyProtection="1">
      <alignment horizontal="left" vertical="center" wrapText="1"/>
      <protection locked="0"/>
    </xf>
    <xf numFmtId="0" fontId="8" fillId="0" borderId="15" xfId="0" applyNumberFormat="1" applyFont="1" applyBorder="1" applyAlignment="1">
      <alignment horizontal="left" vertical="center" wrapText="1"/>
    </xf>
    <xf numFmtId="0" fontId="19" fillId="0" borderId="0" xfId="33" applyFont="1" applyAlignment="1">
      <alignment vertical="top" wrapText="1"/>
    </xf>
    <xf numFmtId="0" fontId="8" fillId="9" borderId="18" xfId="33" applyFill="1" applyBorder="1" applyAlignment="1">
      <alignment horizontal="right" vertical="center" wrapText="1" indent="1"/>
    </xf>
    <xf numFmtId="0" fontId="0" fillId="9" borderId="18" xfId="33" applyFont="1" applyFill="1" applyBorder="1" applyAlignment="1">
      <alignment horizontal="right" vertical="center" wrapText="1" indent="1"/>
    </xf>
    <xf numFmtId="0" fontId="8" fillId="0" borderId="0" xfId="33" applyAlignment="1">
      <alignment horizontal="left" vertical="center" wrapText="1" indent="4"/>
    </xf>
    <xf numFmtId="0" fontId="8" fillId="0" borderId="11" xfId="0" applyNumberFormat="1" applyFont="1" applyBorder="1" applyAlignment="1">
      <alignment vertical="center" wrapText="1"/>
    </xf>
    <xf numFmtId="49" fontId="0" fillId="9" borderId="6" xfId="0" applyFill="1" applyBorder="1" applyAlignment="1">
      <alignment horizontal="center" vertical="center" wrapText="1"/>
    </xf>
    <xf numFmtId="49" fontId="0" fillId="9" borderId="9" xfId="0" applyFill="1" applyBorder="1" applyAlignment="1">
      <alignment horizontal="center" vertical="center" wrapText="1"/>
    </xf>
    <xf numFmtId="0" fontId="8" fillId="13" borderId="19" xfId="0" applyNumberFormat="1" applyFont="1" applyFill="1" applyBorder="1" applyAlignment="1">
      <alignment vertical="center" wrapText="1"/>
    </xf>
    <xf numFmtId="49" fontId="33" fillId="13" borderId="20" xfId="0" applyFont="1" applyFill="1" applyBorder="1" applyAlignment="1">
      <alignment horizontal="left" vertical="center" indent="1"/>
    </xf>
    <xf numFmtId="49" fontId="33" fillId="13" borderId="20" xfId="0" applyFont="1" applyFill="1" applyBorder="1" applyAlignment="1">
      <alignment horizontal="left" vertical="center" indent="2"/>
    </xf>
    <xf numFmtId="49" fontId="13" fillId="6" borderId="4" xfId="0" applyFont="1" applyFill="1" applyBorder="1" applyAlignment="1" applyProtection="1">
      <alignment horizontal="left" vertical="center" wrapText="1"/>
      <protection locked="0"/>
    </xf>
    <xf numFmtId="49" fontId="8" fillId="0" borderId="11" xfId="0" applyFont="1" applyBorder="1">
      <alignment vertical="top"/>
    </xf>
    <xf numFmtId="49" fontId="60" fillId="13" borderId="5" xfId="0" applyFont="1" applyFill="1" applyBorder="1" applyAlignment="1">
      <alignment horizontal="left" vertical="center" indent="1"/>
    </xf>
    <xf numFmtId="49" fontId="60" fillId="13" borderId="7" xfId="0" applyFont="1" applyFill="1" applyBorder="1" applyAlignment="1">
      <alignment horizontal="left" vertical="center" indent="1"/>
    </xf>
    <xf numFmtId="49" fontId="60" fillId="13" borderId="7" xfId="0" applyFont="1" applyFill="1" applyBorder="1" applyAlignment="1">
      <alignment vertical="center"/>
    </xf>
    <xf numFmtId="0" fontId="0" fillId="7" borderId="4" xfId="0" applyNumberFormat="1" applyFill="1" applyBorder="1" applyAlignment="1">
      <alignment horizontal="right" vertical="center"/>
    </xf>
    <xf numFmtId="0" fontId="25" fillId="0" borderId="0" xfId="33" applyFont="1" applyAlignment="1">
      <alignment horizontal="center" vertical="center" wrapText="1"/>
    </xf>
    <xf numFmtId="0" fontId="0" fillId="0" borderId="0" xfId="0" applyNumberFormat="1" applyAlignment="1">
      <alignment vertical="center" wrapText="1"/>
    </xf>
    <xf numFmtId="0" fontId="64" fillId="0" borderId="0" xfId="0" applyNumberFormat="1" applyFont="1" applyAlignment="1">
      <alignment vertical="center" wrapText="1"/>
    </xf>
    <xf numFmtId="49" fontId="19" fillId="13" borderId="6" xfId="0" applyFont="1" applyFill="1" applyBorder="1" applyAlignment="1">
      <alignment horizontal="right" vertical="center" wrapText="1"/>
    </xf>
    <xf numFmtId="49" fontId="0" fillId="13" borderId="5" xfId="0" applyFill="1" applyBorder="1" applyAlignment="1">
      <alignment horizontal="right" vertical="center" wrapText="1"/>
    </xf>
    <xf numFmtId="0" fontId="0" fillId="0" borderId="6" xfId="0" applyNumberFormat="1" applyBorder="1" applyAlignment="1">
      <alignment horizontal="center" vertical="center" wrapText="1"/>
    </xf>
    <xf numFmtId="0" fontId="0" fillId="6" borderId="4" xfId="0" applyNumberFormat="1" applyFill="1" applyBorder="1" applyAlignment="1" applyProtection="1">
      <alignment horizontal="right" vertical="center" wrapText="1"/>
      <protection locked="0"/>
    </xf>
    <xf numFmtId="3" fontId="0" fillId="14" borderId="5" xfId="0" applyNumberFormat="1" applyFill="1" applyBorder="1" applyAlignment="1" applyProtection="1">
      <alignment horizontal="right" vertical="center" wrapText="1"/>
      <protection locked="0"/>
    </xf>
    <xf numFmtId="3" fontId="0" fillId="14" borderId="4" xfId="0" applyNumberFormat="1" applyFill="1" applyBorder="1" applyAlignment="1" applyProtection="1">
      <alignment horizontal="right" vertical="center" wrapText="1"/>
      <protection locked="0"/>
    </xf>
    <xf numFmtId="49" fontId="0" fillId="0" borderId="4" xfId="0" applyBorder="1" applyAlignment="1">
      <alignment horizontal="center" vertical="center" wrapText="1"/>
    </xf>
    <xf numFmtId="0" fontId="0" fillId="9" borderId="6" xfId="0" applyNumberFormat="1" applyFill="1" applyBorder="1" applyAlignment="1">
      <alignment horizontal="left" vertical="center" wrapText="1" indent="1"/>
    </xf>
    <xf numFmtId="0" fontId="0" fillId="9" borderId="9" xfId="0" applyNumberFormat="1" applyFill="1" applyBorder="1" applyAlignment="1">
      <alignment horizontal="left" vertical="center" wrapText="1"/>
    </xf>
    <xf numFmtId="0" fontId="0" fillId="9" borderId="4" xfId="0" applyNumberFormat="1" applyFill="1" applyBorder="1" applyAlignment="1">
      <alignment horizontal="left" vertical="center" wrapText="1"/>
    </xf>
    <xf numFmtId="0" fontId="0" fillId="9" borderId="4" xfId="0" applyNumberFormat="1" applyFill="1" applyBorder="1" applyAlignment="1">
      <alignment horizontal="left" vertical="center" wrapText="1" indent="2"/>
    </xf>
    <xf numFmtId="0" fontId="0" fillId="9" borderId="4" xfId="34" applyFont="1" applyFill="1" applyBorder="1" applyAlignment="1">
      <alignment horizontal="center" vertical="center"/>
    </xf>
    <xf numFmtId="49" fontId="0" fillId="14" borderId="4" xfId="0" applyFill="1" applyBorder="1" applyAlignment="1" applyProtection="1">
      <alignment horizontal="left" vertical="center" wrapText="1"/>
      <protection locked="0"/>
    </xf>
    <xf numFmtId="0" fontId="0" fillId="9" borderId="4" xfId="0" applyNumberFormat="1" applyFill="1" applyBorder="1" applyAlignment="1">
      <alignment horizontal="left" vertical="center" wrapText="1" indent="1"/>
    </xf>
    <xf numFmtId="0" fontId="0" fillId="9" borderId="4" xfId="0" applyNumberFormat="1" applyFill="1" applyBorder="1" applyAlignment="1">
      <alignment vertical="center" wrapText="1"/>
    </xf>
    <xf numFmtId="49" fontId="0" fillId="9" borderId="4" xfId="34" applyNumberFormat="1" applyFont="1" applyFill="1" applyBorder="1" applyAlignment="1">
      <alignment horizontal="center" vertical="center"/>
    </xf>
    <xf numFmtId="0" fontId="0" fillId="9" borderId="4" xfId="0" applyNumberFormat="1" applyFill="1" applyBorder="1" applyAlignment="1">
      <alignment horizontal="center" vertical="center" wrapText="1"/>
    </xf>
    <xf numFmtId="0" fontId="38" fillId="0" borderId="0" xfId="33" applyFont="1" applyAlignment="1">
      <alignment vertical="center" wrapText="1"/>
    </xf>
    <xf numFmtId="0" fontId="0" fillId="9" borderId="0" xfId="0" applyNumberFormat="1" applyFill="1" applyAlignment="1"/>
    <xf numFmtId="0" fontId="0" fillId="9" borderId="0" xfId="0" applyNumberFormat="1" applyFill="1" applyAlignment="1">
      <alignment horizontal="center"/>
    </xf>
    <xf numFmtId="0" fontId="65" fillId="9" borderId="0" xfId="0" applyNumberFormat="1" applyFont="1" applyFill="1" applyAlignment="1">
      <alignment horizontal="center"/>
    </xf>
    <xf numFmtId="0" fontId="65" fillId="9" borderId="0" xfId="0" applyNumberFormat="1" applyFont="1" applyFill="1" applyAlignment="1"/>
    <xf numFmtId="0" fontId="66" fillId="9" borderId="0" xfId="0" applyNumberFormat="1" applyFont="1" applyFill="1" applyAlignment="1"/>
    <xf numFmtId="0" fontId="67" fillId="9" borderId="0" xfId="0" applyNumberFormat="1" applyFont="1" applyFill="1" applyAlignment="1">
      <alignment horizontal="right" vertical="center"/>
    </xf>
    <xf numFmtId="0" fontId="67" fillId="9" borderId="0" xfId="0" applyNumberFormat="1" applyFont="1" applyFill="1" applyAlignment="1">
      <alignment horizontal="right" vertical="top"/>
    </xf>
    <xf numFmtId="0" fontId="29" fillId="9" borderId="0" xfId="34" applyFont="1" applyFill="1" applyAlignment="1">
      <alignment horizontal="center" vertical="center"/>
    </xf>
    <xf numFmtId="0" fontId="38" fillId="0" borderId="0" xfId="0" applyNumberFormat="1" applyFont="1" applyAlignment="1">
      <alignment vertical="top" wrapText="1"/>
    </xf>
    <xf numFmtId="0" fontId="8" fillId="13" borderId="6" xfId="0" applyNumberFormat="1" applyFont="1" applyFill="1" applyBorder="1" applyAlignment="1">
      <alignment horizontal="center"/>
    </xf>
    <xf numFmtId="0" fontId="60" fillId="13" borderId="7" xfId="0" applyNumberFormat="1" applyFont="1" applyFill="1" applyBorder="1" applyAlignment="1">
      <alignment horizontal="left" vertical="center"/>
    </xf>
    <xf numFmtId="0" fontId="60" fillId="13" borderId="5" xfId="0" applyNumberFormat="1" applyFont="1" applyFill="1" applyBorder="1" applyAlignment="1">
      <alignment horizontal="left" vertical="center"/>
    </xf>
    <xf numFmtId="0" fontId="68" fillId="9" borderId="0" xfId="0" applyNumberFormat="1" applyFont="1" applyFill="1" applyAlignment="1">
      <alignment vertical="center"/>
    </xf>
    <xf numFmtId="0" fontId="68" fillId="9" borderId="0" xfId="0" applyNumberFormat="1" applyFont="1" applyFill="1" applyAlignment="1">
      <alignment vertical="center" wrapText="1"/>
    </xf>
    <xf numFmtId="49" fontId="8" fillId="9" borderId="4" xfId="34" applyNumberFormat="1" applyFont="1" applyFill="1" applyBorder="1" applyAlignment="1">
      <alignment horizontal="center" vertical="center" wrapText="1"/>
    </xf>
    <xf numFmtId="0" fontId="8" fillId="9" borderId="4" xfId="0" applyNumberFormat="1" applyFont="1" applyFill="1" applyBorder="1" applyAlignment="1">
      <alignment vertical="center" wrapText="1"/>
    </xf>
    <xf numFmtId="0" fontId="55" fillId="9" borderId="0" xfId="0" applyNumberFormat="1" applyFont="1" applyFill="1" applyAlignment="1"/>
    <xf numFmtId="0" fontId="43" fillId="9" borderId="0" xfId="0" applyNumberFormat="1" applyFont="1" applyFill="1" applyAlignment="1"/>
    <xf numFmtId="0" fontId="51" fillId="9" borderId="0" xfId="0" applyNumberFormat="1" applyFont="1" applyFill="1" applyAlignment="1"/>
    <xf numFmtId="0" fontId="51" fillId="9" borderId="0" xfId="0" applyNumberFormat="1" applyFont="1" applyFill="1" applyAlignment="1">
      <alignment horizontal="center"/>
    </xf>
    <xf numFmtId="0" fontId="48" fillId="0" borderId="0" xfId="0" applyNumberFormat="1" applyFont="1" applyAlignment="1">
      <alignment vertical="center" wrapText="1"/>
    </xf>
    <xf numFmtId="0" fontId="50" fillId="0" borderId="0" xfId="0" applyNumberFormat="1" applyFont="1" applyAlignment="1">
      <alignment vertical="center" wrapText="1"/>
    </xf>
    <xf numFmtId="0" fontId="50" fillId="9" borderId="0" xfId="0" applyNumberFormat="1" applyFont="1" applyFill="1" applyAlignment="1">
      <alignment vertical="center" wrapText="1"/>
    </xf>
    <xf numFmtId="0" fontId="50" fillId="9" borderId="0" xfId="0" applyNumberFormat="1" applyFont="1" applyFill="1" applyAlignment="1">
      <alignment horizontal="right" vertical="center"/>
    </xf>
    <xf numFmtId="0" fontId="50" fillId="9" borderId="0" xfId="0" applyNumberFormat="1" applyFont="1" applyFill="1" applyAlignment="1">
      <alignment horizontal="right" vertical="center" wrapText="1"/>
    </xf>
    <xf numFmtId="4" fontId="50" fillId="0" borderId="0" xfId="0" applyNumberFormat="1" applyFont="1" applyAlignment="1">
      <alignment horizontal="right" vertical="center" wrapText="1"/>
    </xf>
    <xf numFmtId="0" fontId="50" fillId="0" borderId="0" xfId="0" applyNumberFormat="1" applyFont="1" applyAlignment="1">
      <alignment horizontal="left" vertical="center" wrapText="1" indent="1"/>
    </xf>
    <xf numFmtId="0" fontId="69" fillId="9" borderId="0" xfId="0" applyNumberFormat="1" applyFont="1" applyFill="1" applyAlignment="1">
      <alignment horizontal="center" vertical="center" wrapText="1"/>
    </xf>
    <xf numFmtId="0" fontId="29" fillId="9" borderId="0" xfId="0" applyNumberFormat="1" applyFont="1" applyFill="1" applyAlignment="1">
      <alignment horizontal="center" vertical="center" wrapText="1"/>
    </xf>
    <xf numFmtId="0" fontId="54" fillId="0" borderId="0" xfId="0" applyNumberFormat="1" applyFont="1" applyAlignment="1">
      <alignment horizontal="center" vertical="center" wrapText="1"/>
    </xf>
    <xf numFmtId="0" fontId="8" fillId="9" borderId="16" xfId="0" applyNumberFormat="1" applyFont="1" applyFill="1" applyBorder="1" applyAlignment="1">
      <alignment vertical="center" wrapText="1"/>
    </xf>
    <xf numFmtId="49" fontId="29" fillId="9" borderId="7" xfId="0" applyFont="1" applyFill="1" applyBorder="1" applyAlignment="1">
      <alignment horizontal="center" vertical="center" wrapText="1"/>
    </xf>
    <xf numFmtId="0" fontId="69" fillId="0" borderId="0" xfId="0" applyNumberFormat="1" applyFont="1" applyAlignment="1">
      <alignment horizontal="center" vertical="center" wrapText="1"/>
    </xf>
    <xf numFmtId="49" fontId="63" fillId="0" borderId="4" xfId="0" applyFont="1" applyBorder="1" applyAlignment="1">
      <alignment horizontal="left" vertical="center" wrapText="1"/>
    </xf>
    <xf numFmtId="0" fontId="70" fillId="9" borderId="0" xfId="0" applyNumberFormat="1" applyFont="1" applyFill="1" applyAlignment="1">
      <alignment horizontal="center" vertical="center" wrapText="1"/>
    </xf>
    <xf numFmtId="49" fontId="63" fillId="0" borderId="9" xfId="0" applyFont="1" applyBorder="1" applyAlignment="1">
      <alignment horizontal="left" vertical="center" wrapText="1"/>
    </xf>
    <xf numFmtId="0" fontId="40" fillId="9" borderId="0" xfId="0" applyNumberFormat="1" applyFont="1" applyFill="1" applyAlignment="1"/>
    <xf numFmtId="0" fontId="40" fillId="9" borderId="0" xfId="0" applyNumberFormat="1" applyFont="1" applyFill="1" applyAlignment="1">
      <alignment vertical="center" wrapText="1"/>
    </xf>
    <xf numFmtId="0" fontId="40" fillId="0" borderId="0" xfId="33" applyFont="1" applyAlignment="1">
      <alignment vertical="center" wrapText="1"/>
    </xf>
    <xf numFmtId="14" fontId="8" fillId="13" borderId="7" xfId="0" applyNumberFormat="1" applyFont="1" applyFill="1" applyBorder="1" applyAlignment="1">
      <alignment horizontal="center" vertical="center" wrapText="1"/>
    </xf>
    <xf numFmtId="14" fontId="71" fillId="13" borderId="7" xfId="0" applyNumberFormat="1" applyFont="1" applyFill="1" applyBorder="1" applyAlignment="1">
      <alignment horizontal="center" vertical="center" wrapText="1"/>
    </xf>
    <xf numFmtId="0" fontId="40" fillId="0" borderId="0" xfId="0" applyNumberFormat="1" applyFont="1" applyAlignment="1">
      <alignment horizontal="left" vertical="center" wrapText="1"/>
    </xf>
    <xf numFmtId="49" fontId="40" fillId="0" borderId="0" xfId="0" applyFont="1" applyAlignment="1">
      <alignment horizontal="left" vertical="center" wrapText="1"/>
    </xf>
    <xf numFmtId="49" fontId="13" fillId="0" borderId="4" xfId="0" applyFont="1" applyBorder="1" applyAlignment="1">
      <alignment horizontal="left" vertical="center" wrapText="1"/>
    </xf>
    <xf numFmtId="14" fontId="8" fillId="15" borderId="4" xfId="0" applyNumberFormat="1" applyFont="1" applyFill="1" applyBorder="1" applyAlignment="1">
      <alignment horizontal="center" vertical="center" wrapText="1"/>
    </xf>
    <xf numFmtId="49" fontId="8" fillId="15" borderId="4" xfId="0" applyFont="1" applyFill="1" applyBorder="1" applyAlignment="1">
      <alignment horizontal="center" vertical="center" wrapText="1"/>
    </xf>
    <xf numFmtId="0" fontId="72" fillId="0" borderId="0" xfId="0" applyNumberFormat="1" applyFont="1" applyAlignment="1">
      <alignment horizontal="center" vertical="center" wrapText="1"/>
    </xf>
    <xf numFmtId="0" fontId="0" fillId="9" borderId="6" xfId="0" applyNumberFormat="1" applyFill="1" applyBorder="1" applyAlignment="1">
      <alignment horizontal="left" vertical="center" wrapText="1"/>
    </xf>
    <xf numFmtId="49" fontId="19" fillId="13" borderId="7" xfId="0" applyFont="1" applyFill="1" applyBorder="1" applyAlignment="1">
      <alignment horizontal="center" vertical="center"/>
    </xf>
    <xf numFmtId="0" fontId="39" fillId="0" borderId="0" xfId="33" applyFont="1" applyAlignment="1">
      <alignment horizontal="center" vertical="center" wrapText="1"/>
    </xf>
    <xf numFmtId="0" fontId="73" fillId="0" borderId="0" xfId="33" applyFont="1" applyAlignment="1">
      <alignment vertical="center" wrapText="1"/>
    </xf>
    <xf numFmtId="49" fontId="39" fillId="0" borderId="0" xfId="0" applyFont="1" applyAlignment="1">
      <alignment horizontal="center" vertical="center" wrapText="1"/>
    </xf>
    <xf numFmtId="49" fontId="8" fillId="0" borderId="0" xfId="0" applyFont="1" applyAlignment="1">
      <alignment horizontal="center" vertical="top" wrapText="1"/>
    </xf>
    <xf numFmtId="49" fontId="8" fillId="14" borderId="4" xfId="0" applyFont="1" applyFill="1" applyBorder="1" applyAlignment="1" applyProtection="1">
      <alignment vertical="center" wrapText="1"/>
      <protection locked="0"/>
    </xf>
    <xf numFmtId="4" fontId="8" fillId="6" borderId="4" xfId="0" applyNumberFormat="1" applyFont="1" applyFill="1" applyBorder="1" applyAlignment="1" applyProtection="1">
      <alignment horizontal="right" vertical="center" wrapText="1"/>
      <protection locked="0"/>
    </xf>
    <xf numFmtId="0" fontId="8" fillId="0" borderId="5" xfId="0" applyNumberFormat="1" applyFont="1" applyBorder="1" applyAlignment="1">
      <alignment vertical="top" wrapText="1"/>
    </xf>
    <xf numFmtId="0" fontId="74" fillId="0" borderId="0" xfId="0" applyNumberFormat="1" applyFont="1" applyAlignment="1">
      <alignment vertical="center" wrapText="1"/>
    </xf>
    <xf numFmtId="0" fontId="44" fillId="0" borderId="0" xfId="0" applyNumberFormat="1" applyFont="1" applyAlignment="1">
      <alignment vertical="center" wrapText="1"/>
    </xf>
    <xf numFmtId="169" fontId="8" fillId="6" borderId="4" xfId="0" applyNumberFormat="1" applyFont="1" applyFill="1" applyBorder="1" applyAlignment="1" applyProtection="1">
      <alignment horizontal="right" vertical="center" wrapText="1"/>
      <protection locked="0"/>
    </xf>
    <xf numFmtId="0" fontId="8" fillId="0" borderId="21" xfId="0" applyNumberFormat="1" applyFont="1" applyBorder="1" applyAlignment="1">
      <alignment horizontal="center" vertical="center" wrapText="1"/>
    </xf>
    <xf numFmtId="0" fontId="8" fillId="14" borderId="4" xfId="0" applyNumberFormat="1" applyFont="1" applyFill="1" applyBorder="1" applyAlignment="1" applyProtection="1">
      <alignment horizontal="left" vertical="center" wrapText="1" indent="2"/>
      <protection locked="0"/>
    </xf>
    <xf numFmtId="49" fontId="40" fillId="0" borderId="0" xfId="0" applyFont="1" applyAlignment="1">
      <alignment horizontal="center" vertical="center" wrapText="1"/>
    </xf>
    <xf numFmtId="0" fontId="40" fillId="0" borderId="21" xfId="0" applyNumberFormat="1" applyFont="1" applyBorder="1" applyAlignment="1">
      <alignment horizontal="center" vertical="center" wrapText="1"/>
    </xf>
    <xf numFmtId="0" fontId="40" fillId="0" borderId="4" xfId="0" applyNumberFormat="1" applyFont="1" applyBorder="1" applyAlignment="1">
      <alignment horizontal="left" vertical="center" wrapText="1" indent="2"/>
    </xf>
    <xf numFmtId="0" fontId="40" fillId="0" borderId="4" xfId="0" applyNumberFormat="1" applyFont="1" applyBorder="1" applyAlignment="1">
      <alignment horizontal="center" vertical="center" wrapText="1"/>
    </xf>
    <xf numFmtId="0" fontId="40" fillId="0" borderId="4" xfId="0" applyNumberFormat="1" applyFont="1" applyBorder="1" applyAlignment="1">
      <alignment vertical="center" wrapText="1"/>
    </xf>
    <xf numFmtId="0" fontId="8" fillId="0" borderId="4" xfId="0" applyNumberFormat="1" applyFont="1" applyBorder="1" applyAlignment="1">
      <alignment horizontal="left" vertical="center" wrapText="1" indent="3"/>
    </xf>
    <xf numFmtId="49" fontId="8" fillId="14" borderId="4" xfId="0" applyFont="1" applyFill="1" applyBorder="1" applyAlignment="1" applyProtection="1">
      <alignment horizontal="center" vertical="center" wrapText="1"/>
      <protection locked="0"/>
    </xf>
    <xf numFmtId="0" fontId="8" fillId="6" borderId="4" xfId="0" applyNumberFormat="1" applyFont="1" applyFill="1" applyBorder="1" applyAlignment="1" applyProtection="1">
      <alignment horizontal="left" vertical="center" wrapText="1"/>
      <protection locked="0"/>
    </xf>
    <xf numFmtId="4" fontId="8" fillId="14" borderId="4" xfId="0" applyNumberFormat="1" applyFont="1" applyFill="1" applyBorder="1" applyAlignment="1" applyProtection="1">
      <alignment horizontal="right" vertical="center" wrapText="1"/>
      <protection locked="0"/>
    </xf>
    <xf numFmtId="4" fontId="8" fillId="11" borderId="4" xfId="0" applyNumberFormat="1" applyFont="1" applyFill="1" applyBorder="1" applyAlignment="1">
      <alignment horizontal="right" vertical="center" wrapText="1"/>
    </xf>
    <xf numFmtId="0" fontId="8" fillId="0" borderId="4" xfId="0" applyNumberFormat="1" applyFont="1" applyBorder="1" applyAlignment="1">
      <alignment horizontal="left" vertical="center" wrapText="1" indent="1"/>
    </xf>
    <xf numFmtId="49" fontId="63" fillId="0" borderId="0" xfId="0" applyFont="1" applyAlignment="1">
      <alignment horizontal="center" vertical="center" wrapText="1"/>
    </xf>
    <xf numFmtId="49" fontId="63" fillId="0" borderId="21" xfId="0" applyFont="1" applyBorder="1" applyAlignment="1">
      <alignment horizontal="center" vertical="center" wrapText="1"/>
    </xf>
    <xf numFmtId="0" fontId="63" fillId="0" borderId="4" xfId="0" applyNumberFormat="1" applyFont="1" applyBorder="1" applyAlignment="1">
      <alignment horizontal="left" vertical="center" wrapText="1" indent="2"/>
    </xf>
    <xf numFmtId="0" fontId="63" fillId="0" borderId="4" xfId="0" applyNumberFormat="1" applyFont="1" applyBorder="1" applyAlignment="1">
      <alignment horizontal="center" vertical="center" wrapText="1"/>
    </xf>
    <xf numFmtId="0" fontId="63" fillId="0" borderId="4" xfId="0" applyNumberFormat="1" applyFont="1" applyBorder="1" applyAlignment="1">
      <alignment vertical="center" wrapText="1"/>
    </xf>
    <xf numFmtId="0" fontId="75" fillId="0" borderId="0" xfId="0" applyNumberFormat="1" applyFont="1" applyAlignment="1">
      <alignment vertical="center" wrapText="1"/>
    </xf>
    <xf numFmtId="0" fontId="53" fillId="0" borderId="0" xfId="0" applyNumberFormat="1" applyFont="1" applyAlignment="1">
      <alignment vertical="center" wrapText="1"/>
    </xf>
    <xf numFmtId="0" fontId="63" fillId="0" borderId="21" xfId="0" applyNumberFormat="1" applyFont="1" applyBorder="1" applyAlignment="1">
      <alignment horizontal="center" vertical="center" wrapText="1"/>
    </xf>
    <xf numFmtId="0" fontId="63" fillId="0" borderId="4" xfId="0" applyNumberFormat="1" applyFont="1" applyBorder="1" applyAlignment="1">
      <alignment horizontal="left" vertical="center" wrapText="1" indent="3"/>
    </xf>
    <xf numFmtId="4" fontId="63" fillId="0" borderId="4" xfId="0" applyNumberFormat="1" applyFont="1" applyBorder="1" applyAlignment="1">
      <alignment horizontal="right" vertical="center" wrapText="1"/>
    </xf>
    <xf numFmtId="49" fontId="8" fillId="13" borderId="6" xfId="0" applyFont="1" applyFill="1" applyBorder="1" applyAlignment="1">
      <alignment vertical="center" wrapText="1"/>
    </xf>
    <xf numFmtId="0" fontId="8" fillId="13" borderId="7" xfId="0" applyNumberFormat="1" applyFont="1" applyFill="1" applyBorder="1" applyAlignment="1">
      <alignment vertical="center" wrapText="1"/>
    </xf>
    <xf numFmtId="0" fontId="39" fillId="13" borderId="5" xfId="0" applyNumberFormat="1" applyFont="1" applyFill="1" applyBorder="1" applyAlignment="1">
      <alignment vertical="center" wrapText="1"/>
    </xf>
    <xf numFmtId="14" fontId="8" fillId="0" borderId="0" xfId="0" applyNumberFormat="1" applyFont="1" applyAlignment="1">
      <alignment horizontal="center" vertical="center" wrapText="1"/>
    </xf>
    <xf numFmtId="49" fontId="19" fillId="0" borderId="0" xfId="0" applyFont="1" applyAlignment="1">
      <alignment horizontal="center" vertical="center"/>
    </xf>
    <xf numFmtId="0" fontId="8" fillId="0" borderId="4" xfId="0" applyNumberFormat="1" applyFont="1" applyBorder="1" applyAlignment="1">
      <alignment horizontal="left" vertical="center" wrapText="1" indent="2"/>
    </xf>
    <xf numFmtId="169" fontId="8" fillId="14" borderId="4" xfId="0" applyNumberFormat="1" applyFont="1" applyFill="1" applyBorder="1" applyAlignment="1" applyProtection="1">
      <alignment horizontal="right" vertical="center" wrapText="1"/>
      <protection locked="0"/>
    </xf>
    <xf numFmtId="0" fontId="8" fillId="0" borderId="9" xfId="0" applyNumberFormat="1" applyFont="1" applyBorder="1" applyAlignment="1">
      <alignment horizontal="center" vertical="center" wrapText="1"/>
    </xf>
    <xf numFmtId="4" fontId="8" fillId="11" borderId="9" xfId="0" applyNumberFormat="1" applyFont="1" applyFill="1" applyBorder="1" applyAlignment="1">
      <alignment horizontal="right" vertical="center" wrapText="1"/>
    </xf>
    <xf numFmtId="0" fontId="8" fillId="0" borderId="0" xfId="0" applyNumberFormat="1" applyFont="1" applyAlignment="1">
      <alignment horizontal="left" vertical="center" wrapText="1"/>
    </xf>
    <xf numFmtId="0" fontId="8" fillId="0" borderId="0" xfId="0" applyNumberFormat="1" applyFont="1" applyAlignment="1">
      <alignment vertical="center"/>
    </xf>
    <xf numFmtId="0" fontId="76" fillId="0" borderId="0" xfId="0" applyNumberFormat="1" applyFont="1" applyAlignment="1">
      <alignment vertical="center"/>
    </xf>
    <xf numFmtId="49" fontId="29" fillId="0" borderId="0" xfId="0" applyFont="1" applyAlignment="1">
      <alignment horizontal="center" vertical="center" wrapText="1"/>
    </xf>
    <xf numFmtId="49" fontId="29" fillId="0" borderId="4" xfId="0" applyFont="1" applyBorder="1" applyAlignment="1">
      <alignment horizontal="center" vertical="center" wrapText="1"/>
    </xf>
    <xf numFmtId="0" fontId="40" fillId="0" borderId="0" xfId="0" applyNumberFormat="1" applyFont="1" applyAlignment="1">
      <alignment horizontal="center" vertical="center"/>
    </xf>
    <xf numFmtId="0" fontId="8" fillId="13" borderId="6" xfId="0" applyNumberFormat="1" applyFont="1" applyFill="1" applyBorder="1" applyAlignment="1">
      <alignment horizontal="center" vertical="center" wrapText="1"/>
    </xf>
    <xf numFmtId="0" fontId="0" fillId="13" borderId="5" xfId="0" applyNumberFormat="1" applyFill="1" applyBorder="1" applyAlignment="1">
      <alignment vertical="center"/>
    </xf>
    <xf numFmtId="49" fontId="8" fillId="0" borderId="9" xfId="0" applyFont="1" applyBorder="1" applyAlignment="1">
      <alignment horizontal="center" vertical="center" wrapText="1"/>
    </xf>
    <xf numFmtId="49" fontId="65" fillId="0" borderId="4" xfId="0" applyFont="1" applyBorder="1" applyAlignment="1">
      <alignment horizontal="left" vertical="center" wrapText="1" indent="1"/>
    </xf>
    <xf numFmtId="0" fontId="64" fillId="0" borderId="0" xfId="0" applyNumberFormat="1" applyFont="1" applyAlignment="1">
      <alignment vertical="center"/>
    </xf>
    <xf numFmtId="49" fontId="33" fillId="13" borderId="5" xfId="0" applyFont="1" applyFill="1" applyBorder="1" applyAlignment="1">
      <alignment horizontal="left" vertical="center" indent="1"/>
    </xf>
    <xf numFmtId="49" fontId="19" fillId="13" borderId="5" xfId="0" applyFont="1" applyFill="1" applyBorder="1" applyAlignment="1">
      <alignment horizontal="right" vertical="center" wrapText="1"/>
    </xf>
    <xf numFmtId="0" fontId="65" fillId="16" borderId="0" xfId="0" applyNumberFormat="1" applyFont="1" applyFill="1">
      <alignment vertical="top"/>
    </xf>
    <xf numFmtId="49" fontId="25" fillId="0" borderId="0" xfId="0" applyFont="1" applyAlignment="1">
      <alignment horizontal="center" vertical="center" wrapText="1"/>
    </xf>
    <xf numFmtId="9" fontId="19" fillId="0" borderId="0" xfId="0" applyNumberFormat="1" applyFont="1" applyAlignment="1">
      <alignment horizontal="center" vertical="center" wrapText="1"/>
    </xf>
    <xf numFmtId="49" fontId="53" fillId="0" borderId="0" xfId="0" applyFont="1" applyAlignment="1">
      <alignment horizontal="center" vertical="center" wrapText="1"/>
    </xf>
    <xf numFmtId="0" fontId="39" fillId="0" borderId="0" xfId="0" applyNumberFormat="1" applyFont="1">
      <alignment vertical="top"/>
    </xf>
    <xf numFmtId="0" fontId="64" fillId="0" borderId="0" xfId="0" applyNumberFormat="1" applyFont="1">
      <alignment vertical="top"/>
    </xf>
    <xf numFmtId="0" fontId="77" fillId="0" borderId="0" xfId="0" applyNumberFormat="1" applyFont="1">
      <alignment vertical="top"/>
    </xf>
    <xf numFmtId="0" fontId="39" fillId="0" borderId="0" xfId="0" applyNumberFormat="1" applyFont="1" applyAlignment="1">
      <alignment horizontal="center" vertical="center" wrapText="1"/>
    </xf>
    <xf numFmtId="0" fontId="40" fillId="0" borderId="4" xfId="0" applyNumberFormat="1" applyFont="1" applyBorder="1" applyAlignment="1">
      <alignment horizontal="left" vertical="center" wrapText="1"/>
    </xf>
    <xf numFmtId="49" fontId="0" fillId="0" borderId="5" xfId="0" applyBorder="1" applyAlignment="1">
      <alignment horizontal="center" vertical="center" wrapText="1"/>
    </xf>
    <xf numFmtId="4" fontId="0" fillId="11" borderId="4" xfId="0" applyNumberFormat="1" applyFill="1" applyBorder="1" applyAlignment="1">
      <alignment horizontal="right" vertical="center" wrapText="1"/>
    </xf>
    <xf numFmtId="49" fontId="0" fillId="0" borderId="22" xfId="0" applyBorder="1" applyAlignment="1">
      <alignment horizontal="center" vertical="center" wrapText="1"/>
    </xf>
    <xf numFmtId="49" fontId="0" fillId="14" borderId="4" xfId="0" applyFill="1" applyBorder="1" applyAlignment="1" applyProtection="1">
      <alignment horizontal="center" vertical="center" wrapText="1"/>
      <protection locked="0"/>
    </xf>
    <xf numFmtId="4" fontId="39" fillId="0" borderId="4" xfId="0" applyNumberFormat="1" applyFont="1" applyBorder="1" applyAlignment="1">
      <alignment horizontal="right" vertical="center" wrapText="1"/>
    </xf>
    <xf numFmtId="49" fontId="0" fillId="13" borderId="19" xfId="0" applyFill="1" applyBorder="1" applyAlignment="1">
      <alignment horizontal="center" vertical="center"/>
    </xf>
    <xf numFmtId="49" fontId="0" fillId="13" borderId="7" xfId="0" applyFill="1" applyBorder="1" applyAlignment="1">
      <alignment horizontal="center" vertical="center"/>
    </xf>
    <xf numFmtId="0" fontId="33" fillId="0" borderId="4" xfId="0" applyNumberFormat="1" applyFont="1" applyBorder="1" applyAlignment="1">
      <alignment horizontal="left" vertical="center" indent="1"/>
    </xf>
    <xf numFmtId="0" fontId="38" fillId="0" borderId="0" xfId="0" applyNumberFormat="1" applyFont="1" applyAlignment="1">
      <alignment horizontal="right" vertical="top" wrapText="1"/>
    </xf>
    <xf numFmtId="0" fontId="8" fillId="0" borderId="0" xfId="0" applyNumberFormat="1" applyFont="1" applyAlignment="1">
      <alignment horizontal="left" vertical="top" wrapText="1"/>
    </xf>
    <xf numFmtId="4" fontId="8" fillId="0" borderId="4" xfId="0" applyNumberFormat="1" applyFont="1" applyBorder="1" applyAlignment="1">
      <alignment horizontal="center" vertical="center" wrapText="1"/>
    </xf>
    <xf numFmtId="49" fontId="13" fillId="6" borderId="6" xfId="0" applyFont="1" applyFill="1" applyBorder="1" applyAlignment="1" applyProtection="1">
      <alignment horizontal="left" vertical="center" wrapText="1"/>
      <protection locked="0"/>
    </xf>
    <xf numFmtId="0" fontId="38" fillId="0" borderId="0" xfId="0" applyNumberFormat="1" applyFont="1">
      <alignment vertical="top"/>
    </xf>
    <xf numFmtId="49" fontId="8" fillId="0" borderId="23" xfId="0" applyFont="1" applyBorder="1" applyAlignment="1">
      <alignment horizontal="center" vertical="center" wrapText="1"/>
    </xf>
    <xf numFmtId="0" fontId="8" fillId="0" borderId="23" xfId="0" applyNumberFormat="1" applyFont="1" applyBorder="1" applyAlignment="1">
      <alignment horizontal="left" vertical="center" wrapText="1"/>
    </xf>
    <xf numFmtId="0" fontId="8" fillId="0" borderId="23" xfId="0" applyNumberFormat="1" applyFont="1" applyBorder="1" applyAlignment="1">
      <alignment horizontal="left" vertical="center" wrapText="1" indent="1"/>
    </xf>
    <xf numFmtId="4" fontId="8" fillId="14" borderId="23" xfId="0" applyNumberFormat="1" applyFont="1" applyFill="1" applyBorder="1" applyAlignment="1" applyProtection="1">
      <alignment horizontal="right" vertical="center" wrapText="1"/>
      <protection locked="0"/>
    </xf>
    <xf numFmtId="49" fontId="8" fillId="0" borderId="24" xfId="0" applyFont="1" applyBorder="1" applyAlignment="1">
      <alignment horizontal="center" vertical="center" wrapText="1"/>
    </xf>
    <xf numFmtId="0" fontId="8" fillId="0" borderId="23" xfId="0" applyNumberFormat="1" applyFont="1" applyBorder="1" applyAlignment="1">
      <alignment horizontal="left" vertical="center" wrapText="1" indent="2"/>
    </xf>
    <xf numFmtId="49" fontId="8" fillId="0" borderId="0" xfId="0" applyFont="1" applyAlignment="1">
      <alignment horizontal="left" vertical="center" wrapText="1"/>
    </xf>
    <xf numFmtId="0" fontId="73" fillId="0" borderId="0" xfId="0" applyNumberFormat="1" applyFont="1" applyAlignment="1">
      <alignment vertical="center" wrapText="1"/>
    </xf>
    <xf numFmtId="3" fontId="8" fillId="0" borderId="6" xfId="0" applyNumberFormat="1" applyFont="1" applyBorder="1" applyAlignment="1">
      <alignment vertical="center" wrapText="1"/>
    </xf>
    <xf numFmtId="0" fontId="8" fillId="0" borderId="5" xfId="0" applyNumberFormat="1" applyFont="1" applyBorder="1" applyAlignment="1">
      <alignment vertical="center" wrapText="1"/>
    </xf>
    <xf numFmtId="4" fontId="8" fillId="6" borderId="6" xfId="0" applyNumberFormat="1" applyFont="1" applyFill="1" applyBorder="1" applyAlignment="1" applyProtection="1">
      <alignment horizontal="right" vertical="center" wrapText="1"/>
      <protection locked="0"/>
    </xf>
    <xf numFmtId="4" fontId="8" fillId="0" borderId="6" xfId="0" applyNumberFormat="1" applyFont="1" applyBorder="1" applyAlignment="1">
      <alignment horizontal="right" vertical="center" wrapText="1"/>
    </xf>
    <xf numFmtId="4" fontId="8" fillId="0" borderId="19" xfId="0" applyNumberFormat="1" applyFont="1" applyBorder="1" applyAlignment="1">
      <alignment horizontal="right" vertical="center" wrapText="1"/>
    </xf>
    <xf numFmtId="0" fontId="8" fillId="0" borderId="6" xfId="0" applyNumberFormat="1" applyFont="1" applyBorder="1" applyAlignment="1">
      <alignment horizontal="center" vertical="center" wrapText="1"/>
    </xf>
    <xf numFmtId="3" fontId="8" fillId="14" borderId="6" xfId="0" applyNumberFormat="1" applyFont="1" applyFill="1" applyBorder="1" applyAlignment="1" applyProtection="1">
      <alignment vertical="center" wrapText="1"/>
      <protection locked="0"/>
    </xf>
    <xf numFmtId="49" fontId="8" fillId="6" borderId="6" xfId="0" applyFont="1" applyFill="1" applyBorder="1" applyAlignment="1" applyProtection="1">
      <alignment horizontal="left" vertical="center" wrapText="1"/>
      <protection locked="0"/>
    </xf>
    <xf numFmtId="4" fontId="8" fillId="11" borderId="6" xfId="0" applyNumberFormat="1" applyFont="1" applyFill="1" applyBorder="1" applyAlignment="1">
      <alignment horizontal="right" vertical="center" wrapText="1"/>
    </xf>
    <xf numFmtId="0" fontId="0" fillId="0" borderId="6" xfId="0" applyNumberFormat="1" applyBorder="1" applyAlignment="1">
      <alignment horizontal="center" vertical="center"/>
    </xf>
    <xf numFmtId="49" fontId="0" fillId="0" borderId="4" xfId="0" applyBorder="1" applyAlignment="1">
      <alignment horizontal="left" vertical="center" wrapText="1" indent="1"/>
    </xf>
    <xf numFmtId="0" fontId="8" fillId="0" borderId="5" xfId="0" applyNumberFormat="1" applyFont="1" applyBorder="1" applyAlignment="1">
      <alignment horizontal="center" vertical="center" wrapText="1"/>
    </xf>
    <xf numFmtId="49" fontId="0" fillId="0" borderId="6" xfId="0" applyBorder="1" applyAlignment="1">
      <alignment horizontal="center" vertical="center"/>
    </xf>
    <xf numFmtId="0" fontId="8" fillId="13" borderId="11" xfId="0" applyNumberFormat="1" applyFont="1" applyFill="1" applyBorder="1" applyAlignment="1">
      <alignment vertical="center" wrapText="1"/>
    </xf>
    <xf numFmtId="0" fontId="8" fillId="0" borderId="7" xfId="0" applyNumberFormat="1" applyFont="1" applyBorder="1" applyAlignment="1">
      <alignment horizontal="center" vertical="center" wrapText="1"/>
    </xf>
    <xf numFmtId="0" fontId="8" fillId="13" borderId="20" xfId="0" applyNumberFormat="1" applyFont="1" applyFill="1" applyBorder="1" applyAlignment="1">
      <alignment vertical="center" wrapText="1"/>
    </xf>
    <xf numFmtId="49" fontId="8" fillId="14" borderId="6" xfId="0" applyFont="1" applyFill="1" applyBorder="1" applyAlignment="1" applyProtection="1">
      <alignment horizontal="left" vertical="center" wrapText="1"/>
      <protection locked="0"/>
    </xf>
    <xf numFmtId="49" fontId="0" fillId="6" borderId="4" xfId="0" applyFill="1" applyBorder="1" applyAlignment="1" applyProtection="1">
      <alignment horizontal="left" vertical="center" wrapText="1"/>
      <protection locked="0"/>
    </xf>
    <xf numFmtId="0" fontId="7" fillId="0" borderId="0" xfId="0" applyNumberFormat="1" applyFont="1" applyAlignment="1">
      <alignment horizontal="left" vertical="center" wrapText="1" indent="1"/>
    </xf>
    <xf numFmtId="0" fontId="78" fillId="0" borderId="0" xfId="0" applyNumberFormat="1" applyFont="1" applyAlignment="1">
      <alignment vertical="center" wrapText="1"/>
    </xf>
    <xf numFmtId="0" fontId="78" fillId="9" borderId="0" xfId="0" applyNumberFormat="1" applyFont="1" applyFill="1" applyAlignment="1">
      <alignment horizontal="center" vertical="center" wrapText="1"/>
    </xf>
    <xf numFmtId="0" fontId="78" fillId="9" borderId="0" xfId="0" applyNumberFormat="1" applyFont="1" applyFill="1" applyAlignment="1">
      <alignment horizontal="right" vertical="center" wrapText="1"/>
    </xf>
    <xf numFmtId="0" fontId="39" fillId="0" borderId="0" xfId="0" applyNumberFormat="1" applyFont="1" applyAlignment="1">
      <alignment horizontal="center" vertical="top"/>
    </xf>
    <xf numFmtId="49" fontId="8" fillId="15" borderId="4" xfId="0" applyFont="1" applyFill="1" applyBorder="1" applyAlignment="1">
      <alignment horizontal="left" vertical="center" wrapText="1" indent="1"/>
    </xf>
    <xf numFmtId="0" fontId="8" fillId="0" borderId="6" xfId="0" applyNumberFormat="1" applyFont="1" applyBorder="1" applyAlignment="1">
      <alignment vertical="center" wrapText="1"/>
    </xf>
    <xf numFmtId="0" fontId="8" fillId="0" borderId="0" xfId="0" applyNumberFormat="1" applyFont="1" applyAlignment="1">
      <alignment horizontal="right" vertical="center"/>
    </xf>
    <xf numFmtId="49" fontId="13" fillId="13" borderId="5" xfId="0" applyFont="1" applyFill="1" applyBorder="1" applyAlignment="1">
      <alignment horizontal="left" vertical="center" wrapText="1"/>
    </xf>
    <xf numFmtId="0" fontId="79" fillId="0" borderId="0" xfId="0" applyNumberFormat="1" applyFont="1" applyAlignment="1">
      <alignment vertical="center"/>
    </xf>
    <xf numFmtId="0" fontId="80" fillId="0" borderId="0" xfId="33" applyFont="1" applyAlignment="1">
      <alignment vertical="center"/>
    </xf>
    <xf numFmtId="49" fontId="40" fillId="0" borderId="14" xfId="0" applyFont="1" applyBorder="1">
      <alignment vertical="top"/>
    </xf>
    <xf numFmtId="0" fontId="40" fillId="0" borderId="14" xfId="0" applyNumberFormat="1" applyFont="1" applyBorder="1" applyAlignment="1">
      <alignment vertical="center" wrapText="1"/>
    </xf>
    <xf numFmtId="0" fontId="8" fillId="0" borderId="5" xfId="0" applyNumberFormat="1" applyFont="1" applyBorder="1" applyAlignment="1">
      <alignment horizontal="left" vertical="center" wrapText="1" indent="1"/>
    </xf>
    <xf numFmtId="0" fontId="62" fillId="0" borderId="14" xfId="0" applyNumberFormat="1" applyFont="1" applyBorder="1" applyAlignment="1">
      <alignment vertical="center" wrapText="1"/>
    </xf>
    <xf numFmtId="4" fontId="8" fillId="0" borderId="23" xfId="0" applyNumberFormat="1" applyFont="1" applyBorder="1" applyAlignment="1">
      <alignment horizontal="center" vertical="center" wrapText="1"/>
    </xf>
    <xf numFmtId="0" fontId="8" fillId="0" borderId="25" xfId="0" applyNumberFormat="1" applyFont="1" applyBorder="1" applyAlignment="1">
      <alignment horizontal="left" vertical="center" wrapText="1"/>
    </xf>
    <xf numFmtId="0" fontId="8" fillId="0" borderId="25" xfId="0" applyNumberFormat="1" applyFont="1" applyBorder="1" applyAlignment="1">
      <alignment horizontal="left" vertical="center" wrapText="1" indent="1"/>
    </xf>
    <xf numFmtId="4" fontId="8" fillId="14" borderId="25" xfId="0" applyNumberFormat="1" applyFont="1" applyFill="1" applyBorder="1" applyAlignment="1" applyProtection="1">
      <alignment horizontal="right" vertical="center" wrapText="1"/>
      <protection locked="0"/>
    </xf>
    <xf numFmtId="4" fontId="8" fillId="0" borderId="25" xfId="0" applyNumberFormat="1" applyFont="1" applyBorder="1" applyAlignment="1">
      <alignment horizontal="center" vertical="center" wrapText="1"/>
    </xf>
    <xf numFmtId="49" fontId="8" fillId="0" borderId="26" xfId="0" applyFont="1" applyBorder="1" applyAlignment="1">
      <alignment horizontal="center" vertical="center" wrapText="1"/>
    </xf>
    <xf numFmtId="4" fontId="8" fillId="14" borderId="6" xfId="0" applyNumberFormat="1" applyFont="1" applyFill="1" applyBorder="1" applyAlignment="1" applyProtection="1">
      <alignment horizontal="right" vertical="center" wrapText="1"/>
      <protection locked="0"/>
    </xf>
    <xf numFmtId="4" fontId="8" fillId="14" borderId="26" xfId="0" applyNumberFormat="1" applyFont="1" applyFill="1" applyBorder="1" applyAlignment="1" applyProtection="1">
      <alignment horizontal="right" vertical="center" wrapText="1"/>
      <protection locked="0"/>
    </xf>
    <xf numFmtId="0" fontId="39" fillId="0" borderId="0" xfId="0" applyNumberFormat="1" applyFont="1" applyAlignment="1">
      <alignment horizontal="left" vertical="center" wrapText="1"/>
    </xf>
    <xf numFmtId="0" fontId="44" fillId="0" borderId="0" xfId="0" applyNumberFormat="1" applyFont="1" applyAlignment="1">
      <alignment horizontal="left" vertical="center" wrapText="1"/>
    </xf>
    <xf numFmtId="0" fontId="25" fillId="0" borderId="0" xfId="0" applyNumberFormat="1" applyFont="1" applyAlignment="1">
      <alignment horizontal="left" vertical="center" wrapText="1"/>
    </xf>
    <xf numFmtId="4" fontId="8" fillId="0" borderId="27" xfId="0" applyNumberFormat="1" applyFont="1" applyBorder="1" applyAlignment="1">
      <alignment horizontal="center" vertical="center" wrapText="1"/>
    </xf>
    <xf numFmtId="4" fontId="8" fillId="14" borderId="27" xfId="0" applyNumberFormat="1" applyFont="1" applyFill="1" applyBorder="1" applyAlignment="1" applyProtection="1">
      <alignment horizontal="right" vertical="center" wrapText="1"/>
      <protection locked="0"/>
    </xf>
    <xf numFmtId="4" fontId="8" fillId="14" borderId="15" xfId="0" applyNumberFormat="1" applyFont="1" applyFill="1" applyBorder="1" applyAlignment="1" applyProtection="1">
      <alignment horizontal="right" vertical="center" wrapText="1"/>
      <protection locked="0"/>
    </xf>
    <xf numFmtId="49" fontId="8" fillId="0" borderId="25" xfId="0" applyFont="1" applyBorder="1" applyAlignment="1">
      <alignment horizontal="center" vertical="center" wrapText="1"/>
    </xf>
    <xf numFmtId="0" fontId="8" fillId="0" borderId="27" xfId="0" applyNumberFormat="1" applyFont="1" applyBorder="1" applyAlignment="1">
      <alignment horizontal="left" vertical="center" wrapText="1"/>
    </xf>
    <xf numFmtId="0" fontId="8" fillId="0" borderId="12" xfId="0" applyNumberFormat="1" applyFont="1" applyBorder="1" applyAlignment="1">
      <alignment vertical="center" wrapText="1"/>
    </xf>
    <xf numFmtId="169" fontId="8" fillId="11" borderId="4" xfId="0" applyNumberFormat="1" applyFont="1" applyFill="1" applyBorder="1" applyAlignment="1">
      <alignment horizontal="right" vertical="center" wrapText="1"/>
    </xf>
    <xf numFmtId="49" fontId="16" fillId="14" borderId="4" xfId="0" applyFont="1" applyFill="1" applyBorder="1" applyAlignment="1" applyProtection="1">
      <alignment horizontal="left" vertical="center" wrapText="1" indent="1"/>
      <protection locked="0"/>
    </xf>
    <xf numFmtId="0" fontId="60" fillId="9" borderId="0" xfId="0" applyNumberFormat="1" applyFont="1" applyFill="1" applyAlignment="1">
      <alignment horizontal="right" vertical="center"/>
    </xf>
    <xf numFmtId="49" fontId="0" fillId="0" borderId="4" xfId="0" applyBorder="1">
      <alignment vertical="top"/>
    </xf>
    <xf numFmtId="49" fontId="0" fillId="4" borderId="4" xfId="0" applyFill="1" applyBorder="1">
      <alignment vertical="top"/>
    </xf>
    <xf numFmtId="49" fontId="0" fillId="4" borderId="9" xfId="0" applyFill="1" applyBorder="1">
      <alignment vertical="top"/>
    </xf>
    <xf numFmtId="49" fontId="0" fillId="17" borderId="9" xfId="0" applyFill="1" applyBorder="1">
      <alignment vertical="top"/>
    </xf>
    <xf numFmtId="49" fontId="0" fillId="0" borderId="6" xfId="0" applyBorder="1">
      <alignment vertical="top"/>
    </xf>
    <xf numFmtId="49" fontId="0" fillId="0" borderId="6" xfId="0" applyBorder="1" applyAlignment="1">
      <alignment horizontal="center" vertical="top"/>
    </xf>
    <xf numFmtId="49" fontId="0" fillId="0" borderId="7" xfId="0" applyBorder="1" applyAlignment="1">
      <alignment horizontal="center" vertical="top"/>
    </xf>
    <xf numFmtId="49" fontId="0" fillId="3" borderId="4" xfId="0" applyFill="1" applyBorder="1">
      <alignment vertical="top"/>
    </xf>
    <xf numFmtId="49" fontId="0" fillId="18" borderId="4" xfId="0" applyFill="1" applyBorder="1">
      <alignment vertical="top"/>
    </xf>
    <xf numFmtId="49" fontId="0" fillId="2" borderId="4" xfId="0" applyFill="1" applyBorder="1">
      <alignment vertical="top"/>
    </xf>
    <xf numFmtId="0" fontId="19" fillId="9" borderId="0" xfId="33" applyFont="1" applyFill="1" applyAlignment="1">
      <alignment vertical="center" wrapText="1"/>
    </xf>
    <xf numFmtId="0" fontId="13" fillId="0" borderId="0" xfId="0" applyNumberFormat="1" applyFont="1" applyAlignment="1">
      <alignment horizontal="left" vertical="center" indent="1"/>
    </xf>
    <xf numFmtId="0" fontId="0" fillId="9" borderId="0" xfId="33" applyFont="1" applyFill="1" applyAlignment="1">
      <alignment horizontal="right" vertical="center" wrapText="1" indent="1"/>
    </xf>
    <xf numFmtId="0" fontId="0" fillId="9" borderId="0" xfId="33" applyFont="1" applyFill="1" applyAlignment="1">
      <alignment horizontal="left" vertical="center" wrapText="1" indent="1"/>
    </xf>
    <xf numFmtId="14" fontId="8" fillId="9" borderId="0" xfId="33" applyNumberFormat="1" applyFill="1" applyAlignment="1">
      <alignment horizontal="center" vertical="center" wrapText="1"/>
    </xf>
    <xf numFmtId="171" fontId="8" fillId="0" borderId="6" xfId="0" applyNumberFormat="1" applyFont="1" applyBorder="1" applyAlignment="1">
      <alignment horizontal="center" vertical="center" wrapText="1"/>
    </xf>
    <xf numFmtId="0" fontId="8" fillId="0" borderId="15" xfId="0" applyNumberFormat="1" applyFont="1" applyBorder="1" applyAlignment="1">
      <alignment horizontal="center" vertical="center" wrapText="1"/>
    </xf>
    <xf numFmtId="49" fontId="0" fillId="19" borderId="4" xfId="0" applyFill="1" applyBorder="1">
      <alignment vertical="top"/>
    </xf>
    <xf numFmtId="0" fontId="81" fillId="0" borderId="0" xfId="33" applyFont="1" applyAlignment="1">
      <alignment horizontal="left" vertical="center" wrapText="1"/>
    </xf>
    <xf numFmtId="14" fontId="81" fillId="9" borderId="0" xfId="33" applyNumberFormat="1" applyFont="1" applyFill="1" applyAlignment="1">
      <alignment horizontal="left" vertical="center" wrapText="1"/>
    </xf>
    <xf numFmtId="14" fontId="82" fillId="0" borderId="0" xfId="33" applyNumberFormat="1" applyFont="1" applyAlignment="1">
      <alignment horizontal="center" vertical="center" wrapText="1"/>
    </xf>
    <xf numFmtId="14" fontId="83" fillId="0" borderId="4" xfId="33" applyNumberFormat="1" applyFont="1" applyBorder="1" applyAlignment="1">
      <alignment horizontal="left" vertical="center" wrapText="1"/>
    </xf>
    <xf numFmtId="49" fontId="8" fillId="13" borderId="11" xfId="0" applyFont="1" applyFill="1" applyBorder="1" applyAlignment="1">
      <alignment horizontal="center" vertical="center" wrapText="1"/>
    </xf>
    <xf numFmtId="49" fontId="8" fillId="11" borderId="15" xfId="0" applyFont="1" applyFill="1" applyBorder="1" applyAlignment="1">
      <alignment horizontal="center" vertical="center" wrapText="1"/>
    </xf>
    <xf numFmtId="49" fontId="39" fillId="0" borderId="4" xfId="0" applyFont="1" applyBorder="1" applyAlignment="1">
      <alignment horizontal="left" vertical="center" wrapText="1"/>
    </xf>
    <xf numFmtId="14" fontId="8" fillId="15" borderId="15" xfId="0" applyNumberFormat="1" applyFont="1" applyFill="1" applyBorder="1" applyAlignment="1">
      <alignment horizontal="left" vertical="center" wrapText="1" indent="1"/>
    </xf>
    <xf numFmtId="49" fontId="8" fillId="13" borderId="6" xfId="0" applyFont="1" applyFill="1" applyBorder="1" applyAlignment="1">
      <alignment horizontal="right" vertical="center" wrapText="1"/>
    </xf>
    <xf numFmtId="0" fontId="40" fillId="0" borderId="15" xfId="0" applyNumberFormat="1" applyFont="1" applyBorder="1" applyAlignment="1">
      <alignment horizontal="center" vertical="center" wrapText="1"/>
    </xf>
    <xf numFmtId="49" fontId="8" fillId="0" borderId="5" xfId="0" applyFont="1" applyBorder="1" applyAlignment="1">
      <alignment horizontal="center" vertical="top"/>
    </xf>
    <xf numFmtId="49" fontId="8" fillId="0" borderId="4" xfId="0" applyFont="1" applyBorder="1" applyAlignment="1">
      <alignment horizontal="center" vertical="top"/>
    </xf>
    <xf numFmtId="49" fontId="8" fillId="0" borderId="6" xfId="0" applyFont="1" applyBorder="1" applyAlignment="1">
      <alignment horizontal="center" vertical="top"/>
    </xf>
    <xf numFmtId="0" fontId="29" fillId="0" borderId="16" xfId="0" applyNumberFormat="1" applyFont="1" applyBorder="1" applyAlignment="1">
      <alignment vertical="top" wrapText="1"/>
    </xf>
    <xf numFmtId="0" fontId="29" fillId="0" borderId="0" xfId="0" applyNumberFormat="1" applyFont="1" applyAlignment="1">
      <alignment vertical="top" wrapText="1"/>
    </xf>
    <xf numFmtId="0" fontId="39" fillId="0" borderId="15" xfId="0" applyNumberFormat="1" applyFont="1" applyBorder="1" applyAlignment="1">
      <alignment horizontal="center" vertical="center" wrapText="1"/>
    </xf>
    <xf numFmtId="0" fontId="40" fillId="0" borderId="4" xfId="0" applyNumberFormat="1" applyFont="1" applyBorder="1" applyAlignment="1">
      <alignment horizontal="center" vertical="center"/>
    </xf>
    <xf numFmtId="49" fontId="65" fillId="14" borderId="4" xfId="0" applyFont="1" applyFill="1" applyBorder="1" applyAlignment="1" applyProtection="1">
      <alignment horizontal="left" vertical="center" wrapText="1" indent="1"/>
      <protection locked="0"/>
    </xf>
    <xf numFmtId="0" fontId="39" fillId="0" borderId="14" xfId="0" applyNumberFormat="1" applyFont="1" applyBorder="1" applyAlignment="1">
      <alignment vertical="center"/>
    </xf>
    <xf numFmtId="0" fontId="8" fillId="11" borderId="6" xfId="0" applyNumberFormat="1" applyFont="1" applyFill="1" applyBorder="1" applyAlignment="1">
      <alignment horizontal="left" vertical="top" wrapText="1" indent="1"/>
    </xf>
    <xf numFmtId="3" fontId="8" fillId="6" borderId="6" xfId="0" applyNumberFormat="1" applyFont="1" applyFill="1" applyBorder="1" applyAlignment="1" applyProtection="1">
      <alignment horizontal="right" vertical="center" wrapText="1"/>
      <protection locked="0"/>
    </xf>
    <xf numFmtId="0" fontId="13" fillId="0" borderId="0" xfId="0" applyNumberFormat="1" applyFont="1" applyAlignment="1">
      <alignment vertical="center" wrapText="1"/>
    </xf>
    <xf numFmtId="0" fontId="0" fillId="0" borderId="12" xfId="0" applyNumberFormat="1" applyBorder="1" applyAlignment="1">
      <alignment horizontal="center" vertical="center" wrapText="1"/>
    </xf>
    <xf numFmtId="0" fontId="0" fillId="0" borderId="22" xfId="0" applyNumberFormat="1" applyBorder="1" applyAlignment="1">
      <alignment horizontal="center" vertical="center" wrapText="1"/>
    </xf>
    <xf numFmtId="0" fontId="0" fillId="0" borderId="9" xfId="0" applyNumberFormat="1" applyBorder="1" applyAlignment="1">
      <alignment horizontal="center" vertical="center" wrapText="1"/>
    </xf>
    <xf numFmtId="0" fontId="0" fillId="0" borderId="15" xfId="0" applyNumberFormat="1" applyBorder="1" applyAlignment="1">
      <alignment horizontal="center" vertical="center" wrapText="1"/>
    </xf>
    <xf numFmtId="0" fontId="8" fillId="9" borderId="6" xfId="0" applyNumberFormat="1" applyFont="1" applyFill="1" applyBorder="1" applyAlignment="1">
      <alignment horizontal="center" vertical="center" wrapText="1"/>
    </xf>
    <xf numFmtId="0" fontId="71" fillId="0" borderId="9" xfId="0" applyNumberFormat="1" applyFont="1" applyBorder="1" applyAlignment="1">
      <alignment horizontal="center" vertical="center" wrapText="1"/>
    </xf>
    <xf numFmtId="0" fontId="84" fillId="0" borderId="0" xfId="0" applyNumberFormat="1" applyFont="1" applyAlignment="1">
      <alignment vertical="center" wrapText="1"/>
    </xf>
    <xf numFmtId="49" fontId="85" fillId="0" borderId="0" xfId="0" applyFont="1" applyAlignment="1">
      <alignment horizontal="center" vertical="top" wrapText="1"/>
    </xf>
    <xf numFmtId="49" fontId="85" fillId="0" borderId="0" xfId="0" applyFont="1" applyAlignment="1">
      <alignment vertical="top" wrapText="1"/>
    </xf>
    <xf numFmtId="49" fontId="81" fillId="7" borderId="4" xfId="0" applyFont="1" applyFill="1" applyBorder="1" applyAlignment="1">
      <alignment horizontal="center" vertical="top" wrapText="1"/>
    </xf>
    <xf numFmtId="49" fontId="85" fillId="0" borderId="0" xfId="0" applyFont="1" applyAlignment="1">
      <alignment horizontal="left" vertical="top" wrapText="1"/>
    </xf>
    <xf numFmtId="49" fontId="85" fillId="0" borderId="4" xfId="0" applyFont="1" applyBorder="1" applyAlignment="1">
      <alignment horizontal="left" vertical="top" wrapText="1"/>
    </xf>
    <xf numFmtId="0" fontId="85" fillId="0" borderId="4" xfId="0" applyNumberFormat="1" applyFont="1" applyBorder="1" applyAlignment="1">
      <alignment horizontal="left" vertical="top" wrapText="1"/>
    </xf>
    <xf numFmtId="0" fontId="85" fillId="7" borderId="4" xfId="0" applyNumberFormat="1" applyFont="1" applyFill="1" applyBorder="1" applyAlignment="1">
      <alignment horizontal="right" vertical="center" wrapText="1"/>
    </xf>
    <xf numFmtId="49" fontId="85" fillId="0" borderId="4" xfId="0" applyFont="1" applyBorder="1" applyAlignment="1">
      <alignment vertical="top" wrapText="1"/>
    </xf>
    <xf numFmtId="0" fontId="85" fillId="0" borderId="9" xfId="0" applyNumberFormat="1" applyFont="1" applyBorder="1" applyAlignment="1">
      <alignment horizontal="left" vertical="top" wrapText="1"/>
    </xf>
    <xf numFmtId="0" fontId="85" fillId="0" borderId="5" xfId="0" applyNumberFormat="1" applyFont="1" applyBorder="1" applyAlignment="1">
      <alignment horizontal="left" vertical="top" wrapText="1"/>
    </xf>
    <xf numFmtId="0" fontId="85" fillId="0" borderId="4" xfId="0" applyNumberFormat="1" applyFont="1" applyBorder="1" applyAlignment="1">
      <alignment vertical="top" wrapText="1"/>
    </xf>
    <xf numFmtId="0" fontId="81" fillId="7" borderId="4" xfId="0" applyNumberFormat="1" applyFont="1" applyFill="1" applyBorder="1" applyAlignment="1">
      <alignment horizontal="center" vertical="top" wrapText="1"/>
    </xf>
    <xf numFmtId="0" fontId="85" fillId="0" borderId="0" xfId="0" applyNumberFormat="1" applyFont="1" applyAlignment="1">
      <alignment vertical="top" wrapText="1"/>
    </xf>
    <xf numFmtId="0" fontId="80" fillId="0" borderId="0" xfId="33" applyFont="1" applyAlignment="1">
      <alignment vertical="center" wrapText="1"/>
    </xf>
    <xf numFmtId="0" fontId="7" fillId="0" borderId="0" xfId="0" applyNumberFormat="1" applyFont="1" applyAlignment="1">
      <alignment horizontal="left" vertical="center" wrapText="1" indent="3"/>
    </xf>
    <xf numFmtId="3" fontId="0" fillId="0" borderId="5" xfId="0" applyNumberFormat="1" applyBorder="1" applyAlignment="1">
      <alignment horizontal="right" vertical="center" wrapText="1"/>
    </xf>
    <xf numFmtId="0" fontId="8" fillId="15" borderId="6" xfId="0" applyNumberFormat="1" applyFont="1" applyFill="1" applyBorder="1" applyAlignment="1">
      <alignment horizontal="left" vertical="center" wrapText="1"/>
    </xf>
    <xf numFmtId="49" fontId="29" fillId="9" borderId="4" xfId="0" applyFont="1" applyFill="1" applyBorder="1" applyAlignment="1">
      <alignment horizontal="center" vertical="center" wrapText="1"/>
    </xf>
    <xf numFmtId="49" fontId="60" fillId="13" borderId="5" xfId="0" applyFont="1" applyFill="1" applyBorder="1" applyAlignment="1">
      <alignment vertical="center"/>
    </xf>
    <xf numFmtId="49" fontId="8" fillId="9" borderId="0" xfId="0" applyFont="1" applyFill="1" applyAlignment="1">
      <alignment horizontal="center" vertical="center" wrapText="1"/>
    </xf>
    <xf numFmtId="0" fontId="8" fillId="9" borderId="0" xfId="0" applyNumberFormat="1" applyFont="1" applyFill="1" applyAlignment="1">
      <alignment horizontal="center" vertical="top" wrapText="1"/>
    </xf>
    <xf numFmtId="49" fontId="0" fillId="14" borderId="4" xfId="0" applyFill="1" applyBorder="1" applyAlignment="1" applyProtection="1">
      <alignment horizontal="left" vertical="center" wrapText="1" indent="1"/>
      <protection locked="0"/>
    </xf>
    <xf numFmtId="49" fontId="8" fillId="15" borderId="6" xfId="0" applyFont="1" applyFill="1" applyBorder="1" applyAlignment="1">
      <alignment horizontal="left" vertical="center" wrapText="1"/>
    </xf>
    <xf numFmtId="14" fontId="8" fillId="15" borderId="15" xfId="0" applyNumberFormat="1" applyFont="1" applyFill="1" applyBorder="1" applyAlignment="1">
      <alignment horizontal="left" vertical="center" wrapText="1"/>
    </xf>
    <xf numFmtId="0" fontId="40" fillId="9" borderId="15" xfId="0" applyNumberFormat="1" applyFont="1" applyFill="1" applyBorder="1" applyAlignment="1">
      <alignment horizontal="center" vertical="center" wrapText="1"/>
    </xf>
    <xf numFmtId="0" fontId="30" fillId="9" borderId="16" xfId="0" applyNumberFormat="1" applyFont="1" applyFill="1" applyBorder="1" applyAlignment="1">
      <alignment vertical="top" wrapText="1"/>
    </xf>
    <xf numFmtId="0" fontId="30" fillId="9" borderId="0" xfId="0" applyNumberFormat="1" applyFont="1" applyFill="1" applyAlignment="1">
      <alignment vertical="top" wrapText="1"/>
    </xf>
    <xf numFmtId="14" fontId="8" fillId="15" borderId="22" xfId="0" applyNumberFormat="1" applyFont="1" applyFill="1" applyBorder="1" applyAlignment="1">
      <alignment horizontal="left" vertical="center" wrapText="1"/>
    </xf>
    <xf numFmtId="0" fontId="40" fillId="9" borderId="4" xfId="0" applyNumberFormat="1" applyFont="1" applyFill="1" applyBorder="1" applyAlignment="1">
      <alignment horizontal="center" vertical="center" wrapText="1"/>
    </xf>
    <xf numFmtId="0" fontId="33" fillId="13" borderId="7" xfId="0" applyNumberFormat="1" applyFont="1" applyFill="1" applyBorder="1" applyAlignment="1">
      <alignment vertical="center"/>
    </xf>
    <xf numFmtId="49" fontId="39" fillId="0" borderId="0" xfId="0" applyFont="1" applyAlignment="1">
      <alignment vertical="center" wrapText="1"/>
    </xf>
    <xf numFmtId="0" fontId="78" fillId="0" borderId="0" xfId="33" applyFont="1" applyAlignment="1">
      <alignment vertical="center" wrapText="1"/>
    </xf>
    <xf numFmtId="0" fontId="86" fillId="0" borderId="0" xfId="33" applyFont="1" applyAlignment="1">
      <alignment vertical="center" wrapText="1"/>
    </xf>
    <xf numFmtId="0" fontId="39" fillId="0" borderId="0" xfId="33" applyFont="1" applyAlignment="1">
      <alignment vertical="center" wrapText="1"/>
    </xf>
    <xf numFmtId="0" fontId="78" fillId="0" borderId="0" xfId="33" applyFont="1" applyAlignment="1">
      <alignment horizontal="center" vertical="center" wrapText="1"/>
    </xf>
    <xf numFmtId="14" fontId="8" fillId="9" borderId="0" xfId="33" applyNumberFormat="1" applyFill="1" applyAlignment="1">
      <alignment horizontal="left" vertical="center" wrapText="1"/>
    </xf>
    <xf numFmtId="49" fontId="0" fillId="3" borderId="6" xfId="0" applyFill="1" applyBorder="1">
      <alignment vertical="top"/>
    </xf>
    <xf numFmtId="49" fontId="0" fillId="0" borderId="4" xfId="0" applyBorder="1" applyAlignment="1">
      <alignment horizontal="left" vertical="center" wrapText="1"/>
    </xf>
    <xf numFmtId="49" fontId="0" fillId="6" borderId="4" xfId="0" applyFill="1" applyBorder="1" applyAlignment="1">
      <alignment horizontal="left" vertical="center" wrapText="1"/>
    </xf>
    <xf numFmtId="0" fontId="8" fillId="0" borderId="7" xfId="0" applyNumberFormat="1" applyFont="1" applyBorder="1" applyAlignment="1">
      <alignment horizontal="right" vertical="center" wrapText="1" indent="1"/>
    </xf>
    <xf numFmtId="0" fontId="8" fillId="0" borderId="5" xfId="0" applyNumberFormat="1" applyFont="1" applyBorder="1" applyAlignment="1">
      <alignment horizontal="right" vertical="center" wrapText="1" indent="1"/>
    </xf>
    <xf numFmtId="0" fontId="87" fillId="9" borderId="0" xfId="0" applyNumberFormat="1" applyFont="1" applyFill="1" applyAlignment="1">
      <alignment horizontal="right" vertical="center"/>
    </xf>
    <xf numFmtId="0" fontId="8" fillId="14" borderId="4" xfId="0" applyNumberFormat="1" applyFont="1" applyFill="1" applyBorder="1" applyAlignment="1" applyProtection="1">
      <alignment horizontal="center" vertical="center" wrapText="1"/>
      <protection locked="0"/>
    </xf>
    <xf numFmtId="49" fontId="85" fillId="0" borderId="5" xfId="0" applyFont="1" applyBorder="1" applyAlignment="1">
      <alignment horizontal="left" vertical="top" wrapText="1"/>
    </xf>
    <xf numFmtId="49" fontId="85" fillId="0" borderId="6" xfId="0" applyFont="1" applyBorder="1" applyAlignment="1">
      <alignment horizontal="left" vertical="top" wrapText="1"/>
    </xf>
    <xf numFmtId="0" fontId="85" fillId="0" borderId="9" xfId="0" applyNumberFormat="1" applyFont="1" applyBorder="1" applyAlignment="1">
      <alignment vertical="top" wrapText="1"/>
    </xf>
    <xf numFmtId="0" fontId="85" fillId="0" borderId="28" xfId="0" applyNumberFormat="1" applyFont="1" applyBorder="1" applyAlignment="1">
      <alignment horizontal="left" vertical="top" wrapText="1"/>
    </xf>
    <xf numFmtId="49" fontId="85" fillId="0" borderId="19" xfId="0" applyFont="1" applyBorder="1" applyAlignment="1">
      <alignment horizontal="left" vertical="top" wrapText="1"/>
    </xf>
    <xf numFmtId="49" fontId="85" fillId="0" borderId="4" xfId="0" applyFont="1" applyBorder="1" applyAlignment="1">
      <alignment horizontal="center" vertical="top" wrapText="1"/>
    </xf>
    <xf numFmtId="0" fontId="85" fillId="7" borderId="4" xfId="0" applyNumberFormat="1" applyFont="1" applyFill="1" applyBorder="1" applyAlignment="1">
      <alignment horizontal="center" vertical="center" wrapText="1"/>
    </xf>
    <xf numFmtId="49" fontId="85" fillId="0" borderId="29" xfId="0" applyFont="1" applyBorder="1" applyAlignment="1">
      <alignment horizontal="center" vertical="top" wrapText="1"/>
    </xf>
    <xf numFmtId="49" fontId="85" fillId="0" borderId="9" xfId="0" applyFont="1" applyBorder="1" applyAlignment="1">
      <alignment horizontal="center" vertical="top" wrapText="1"/>
    </xf>
    <xf numFmtId="0" fontId="0" fillId="9" borderId="9" xfId="33" applyFont="1" applyFill="1" applyBorder="1" applyAlignment="1">
      <alignment horizontal="center" vertical="center" wrapText="1"/>
    </xf>
    <xf numFmtId="0" fontId="8" fillId="9" borderId="9" xfId="33" applyFill="1" applyBorder="1" applyAlignment="1">
      <alignment horizontal="center" vertical="center" wrapText="1"/>
    </xf>
    <xf numFmtId="49" fontId="88" fillId="0" borderId="0" xfId="0" applyFont="1" applyAlignment="1">
      <alignment horizontal="center" vertical="center" wrapText="1"/>
    </xf>
    <xf numFmtId="0" fontId="8" fillId="0" borderId="30" xfId="0" applyNumberFormat="1" applyFont="1" applyBorder="1" applyAlignment="1">
      <alignment vertical="center" wrapText="1"/>
    </xf>
    <xf numFmtId="0" fontId="0" fillId="9" borderId="9" xfId="0" applyNumberFormat="1" applyFill="1" applyBorder="1" applyAlignment="1">
      <alignment horizontal="center" vertical="center" wrapText="1"/>
    </xf>
    <xf numFmtId="0" fontId="0" fillId="9" borderId="29" xfId="0" applyNumberFormat="1" applyFill="1" applyBorder="1" applyAlignment="1">
      <alignment horizontal="center" vertical="center" wrapText="1"/>
    </xf>
    <xf numFmtId="0" fontId="8" fillId="13" borderId="22" xfId="0" applyNumberFormat="1" applyFont="1" applyFill="1" applyBorder="1" applyAlignment="1">
      <alignment vertical="center" wrapText="1"/>
    </xf>
    <xf numFmtId="0" fontId="8" fillId="9" borderId="31" xfId="0" applyNumberFormat="1" applyFont="1" applyFill="1" applyBorder="1" applyAlignment="1">
      <alignment vertical="center" wrapText="1"/>
    </xf>
    <xf numFmtId="0" fontId="19" fillId="9" borderId="31" xfId="0" applyNumberFormat="1" applyFont="1" applyFill="1" applyBorder="1" applyAlignment="1">
      <alignment horizontal="center" wrapText="1"/>
    </xf>
    <xf numFmtId="49" fontId="60" fillId="0" borderId="31" xfId="0" applyFont="1" applyBorder="1">
      <alignment vertical="top"/>
    </xf>
    <xf numFmtId="49" fontId="38" fillId="0" borderId="0" xfId="0" applyFont="1" applyAlignment="1">
      <alignment vertical="center"/>
    </xf>
    <xf numFmtId="49" fontId="89" fillId="0" borderId="0" xfId="0" applyFont="1" applyAlignment="1">
      <alignment vertical="center"/>
    </xf>
    <xf numFmtId="49" fontId="38" fillId="0" borderId="0" xfId="0" applyFont="1" applyAlignment="1">
      <alignment vertical="center" wrapText="1"/>
    </xf>
    <xf numFmtId="49" fontId="89" fillId="0" borderId="0" xfId="0" applyFont="1" applyAlignment="1">
      <alignment vertical="center" wrapText="1"/>
    </xf>
    <xf numFmtId="49" fontId="38" fillId="0" borderId="0" xfId="0" applyFont="1" applyAlignment="1">
      <alignment horizontal="center" vertical="center" wrapText="1"/>
    </xf>
    <xf numFmtId="49" fontId="89" fillId="0" borderId="0" xfId="0" applyFont="1" applyAlignment="1">
      <alignment horizontal="center" vertical="center" wrapText="1"/>
    </xf>
    <xf numFmtId="0" fontId="38" fillId="0" borderId="0" xfId="0" applyNumberFormat="1" applyFont="1" applyAlignment="1">
      <alignment horizontal="center" vertical="center" wrapText="1"/>
    </xf>
    <xf numFmtId="49" fontId="38" fillId="9" borderId="0" xfId="0" applyFont="1" applyFill="1" applyAlignment="1">
      <alignment vertical="center" wrapText="1"/>
    </xf>
    <xf numFmtId="49" fontId="38" fillId="9" borderId="0" xfId="0" applyFont="1" applyFill="1" applyAlignment="1">
      <alignment vertical="center"/>
    </xf>
    <xf numFmtId="4" fontId="38" fillId="9" borderId="0" xfId="0" applyNumberFormat="1" applyFont="1" applyFill="1" applyAlignment="1">
      <alignment vertical="center"/>
    </xf>
    <xf numFmtId="3" fontId="38" fillId="6" borderId="4" xfId="0" applyNumberFormat="1" applyFont="1" applyFill="1" applyBorder="1" applyAlignment="1" applyProtection="1">
      <alignment horizontal="right" vertical="center"/>
      <protection locked="0"/>
    </xf>
    <xf numFmtId="49" fontId="40" fillId="0" borderId="5" xfId="0" applyFont="1" applyBorder="1" applyAlignment="1">
      <alignment horizontal="left" vertical="center" indent="1"/>
    </xf>
    <xf numFmtId="0" fontId="8" fillId="0" borderId="16" xfId="0" applyNumberFormat="1" applyFont="1" applyBorder="1" applyAlignment="1">
      <alignment vertical="top" wrapText="1"/>
    </xf>
    <xf numFmtId="49" fontId="81" fillId="0" borderId="4" xfId="0" applyFont="1" applyBorder="1" applyAlignment="1">
      <alignment horizontal="center" vertical="center" wrapText="1"/>
    </xf>
    <xf numFmtId="0" fontId="81" fillId="0" borderId="4" xfId="0" applyNumberFormat="1" applyFont="1" applyBorder="1" applyAlignment="1">
      <alignment horizontal="center" vertical="center" wrapText="1"/>
    </xf>
    <xf numFmtId="49" fontId="81" fillId="0" borderId="9" xfId="0" applyFont="1" applyBorder="1" applyAlignment="1">
      <alignment horizontal="center" vertical="center" wrapText="1"/>
    </xf>
    <xf numFmtId="49" fontId="81" fillId="0" borderId="15" xfId="0" applyFont="1" applyBorder="1" applyAlignment="1">
      <alignment horizontal="center" vertical="center" wrapText="1"/>
    </xf>
    <xf numFmtId="0" fontId="81" fillId="0" borderId="9" xfId="0" applyNumberFormat="1" applyFont="1" applyBorder="1" applyAlignment="1">
      <alignment horizontal="center" vertical="center" wrapText="1"/>
    </xf>
    <xf numFmtId="49" fontId="85" fillId="0" borderId="14" xfId="0" applyFont="1" applyBorder="1" applyAlignment="1">
      <alignment horizontal="center" vertical="top" wrapText="1"/>
    </xf>
    <xf numFmtId="49" fontId="85" fillId="0" borderId="28" xfId="0" applyFont="1" applyBorder="1" applyAlignment="1">
      <alignment horizontal="left" vertical="top" wrapText="1"/>
    </xf>
    <xf numFmtId="0" fontId="81" fillId="0" borderId="4" xfId="0" applyNumberFormat="1" applyFont="1" applyBorder="1" applyAlignment="1">
      <alignment vertical="center" wrapText="1"/>
    </xf>
    <xf numFmtId="0" fontId="81" fillId="0" borderId="9" xfId="0" applyNumberFormat="1" applyFont="1" applyBorder="1" applyAlignment="1">
      <alignment vertical="center" wrapText="1"/>
    </xf>
    <xf numFmtId="0" fontId="81" fillId="0" borderId="15" xfId="0" applyNumberFormat="1" applyFont="1" applyBorder="1" applyAlignment="1">
      <alignment vertical="center" wrapText="1"/>
    </xf>
    <xf numFmtId="49" fontId="81" fillId="0" borderId="4" xfId="0" applyFont="1" applyBorder="1" applyAlignment="1">
      <alignment horizontal="left" vertical="top" wrapText="1"/>
    </xf>
    <xf numFmtId="169" fontId="8" fillId="14" borderId="9" xfId="0" applyNumberFormat="1" applyFont="1" applyFill="1" applyBorder="1" applyAlignment="1" applyProtection="1">
      <alignment horizontal="right" vertical="center" wrapText="1"/>
      <protection locked="0"/>
    </xf>
    <xf numFmtId="0" fontId="8" fillId="0" borderId="12" xfId="0" applyNumberFormat="1" applyFont="1" applyBorder="1" applyAlignment="1">
      <alignment horizontal="center" vertical="center" wrapText="1"/>
    </xf>
    <xf numFmtId="49" fontId="8" fillId="13" borderId="29" xfId="0" applyFont="1" applyFill="1" applyBorder="1" applyAlignment="1">
      <alignment vertical="center" wrapText="1"/>
    </xf>
    <xf numFmtId="49" fontId="33" fillId="13" borderId="11" xfId="0" applyFont="1" applyFill="1" applyBorder="1" applyAlignment="1">
      <alignment horizontal="left" vertical="center" indent="1"/>
    </xf>
    <xf numFmtId="0" fontId="63" fillId="0" borderId="0" xfId="0" applyNumberFormat="1" applyFont="1" applyAlignment="1">
      <alignment horizontal="center" vertical="center" wrapText="1"/>
    </xf>
    <xf numFmtId="4" fontId="8" fillId="14" borderId="5" xfId="0" applyNumberFormat="1" applyFont="1" applyFill="1" applyBorder="1" applyAlignment="1" applyProtection="1">
      <alignment horizontal="right" vertical="center" wrapText="1"/>
      <protection locked="0"/>
    </xf>
    <xf numFmtId="169" fontId="8" fillId="14" borderId="5" xfId="0" applyNumberFormat="1" applyFont="1" applyFill="1" applyBorder="1" applyAlignment="1" applyProtection="1">
      <alignment horizontal="right" vertical="center" wrapText="1"/>
      <protection locked="0"/>
    </xf>
    <xf numFmtId="169" fontId="8" fillId="11" borderId="5" xfId="0" applyNumberFormat="1" applyFont="1" applyFill="1" applyBorder="1" applyAlignment="1">
      <alignment horizontal="right" vertical="center" wrapText="1"/>
    </xf>
    <xf numFmtId="4" fontId="8" fillId="14" borderId="22" xfId="0" applyNumberFormat="1" applyFont="1" applyFill="1" applyBorder="1" applyAlignment="1" applyProtection="1">
      <alignment horizontal="right" vertical="center" wrapText="1"/>
      <protection locked="0"/>
    </xf>
    <xf numFmtId="49" fontId="81" fillId="7" borderId="4" xfId="0" applyFont="1" applyFill="1" applyBorder="1" applyAlignment="1">
      <alignment horizontal="center" vertical="top"/>
    </xf>
    <xf numFmtId="49" fontId="85" fillId="0" borderId="0" xfId="0" applyFont="1">
      <alignment vertical="top"/>
    </xf>
    <xf numFmtId="49" fontId="81" fillId="0" borderId="4" xfId="0" applyFont="1" applyBorder="1" applyAlignment="1">
      <alignment horizontal="center" vertical="top" wrapText="1"/>
    </xf>
    <xf numFmtId="49" fontId="81" fillId="0" borderId="4" xfId="0" applyFont="1" applyBorder="1" applyAlignment="1">
      <alignment vertical="top" wrapText="1"/>
    </xf>
    <xf numFmtId="0" fontId="81" fillId="0" borderId="4" xfId="0" applyNumberFormat="1" applyFont="1" applyBorder="1" applyAlignment="1">
      <alignment vertical="top" wrapText="1"/>
    </xf>
    <xf numFmtId="49" fontId="81" fillId="0" borderId="4" xfId="0" applyFont="1" applyBorder="1">
      <alignment vertical="top"/>
    </xf>
    <xf numFmtId="49" fontId="85" fillId="0" borderId="4" xfId="0" applyFont="1" applyBorder="1">
      <alignment vertical="top"/>
    </xf>
    <xf numFmtId="49" fontId="81" fillId="0" borderId="0" xfId="0" applyFont="1" applyAlignment="1">
      <alignment horizontal="center" vertical="center" wrapText="1"/>
    </xf>
    <xf numFmtId="49" fontId="81" fillId="0" borderId="0" xfId="0" applyFont="1" applyAlignment="1">
      <alignment horizontal="left" vertical="center" wrapText="1"/>
    </xf>
    <xf numFmtId="49" fontId="81" fillId="20" borderId="0" xfId="0" applyFont="1" applyFill="1" applyAlignment="1">
      <alignment horizontal="center" vertical="center" wrapText="1"/>
    </xf>
    <xf numFmtId="0" fontId="81" fillId="0" borderId="0" xfId="0" applyNumberFormat="1" applyFont="1" applyAlignment="1">
      <alignment vertical="center" wrapText="1"/>
    </xf>
    <xf numFmtId="0" fontId="40" fillId="0" borderId="4" xfId="0" applyNumberFormat="1" applyFont="1" applyBorder="1" applyAlignment="1">
      <alignment horizontal="left" vertical="center" wrapText="1" indent="3"/>
    </xf>
    <xf numFmtId="49" fontId="40" fillId="0" borderId="4" xfId="0" applyFont="1" applyBorder="1" applyAlignment="1">
      <alignment vertical="center" wrapText="1"/>
    </xf>
    <xf numFmtId="0" fontId="40" fillId="0" borderId="9" xfId="0" applyNumberFormat="1" applyFont="1" applyBorder="1" applyAlignment="1">
      <alignment vertical="top" wrapText="1"/>
    </xf>
    <xf numFmtId="0" fontId="40" fillId="0" borderId="28" xfId="0" applyNumberFormat="1" applyFont="1" applyBorder="1" applyAlignment="1">
      <alignment horizontal="left" vertical="center" wrapText="1" indent="1"/>
    </xf>
    <xf numFmtId="0" fontId="40" fillId="0" borderId="28" xfId="0" applyNumberFormat="1" applyFont="1" applyBorder="1" applyAlignment="1">
      <alignment horizontal="center" vertical="center" wrapText="1"/>
    </xf>
    <xf numFmtId="0" fontId="40" fillId="0" borderId="9" xfId="0" applyNumberFormat="1" applyFont="1" applyBorder="1" applyAlignment="1">
      <alignment vertical="center" wrapText="1"/>
    </xf>
    <xf numFmtId="0" fontId="40" fillId="0" borderId="15" xfId="0" applyNumberFormat="1" applyFont="1" applyBorder="1" applyAlignment="1">
      <alignment horizontal="left" vertical="center" wrapText="1" indent="1"/>
    </xf>
    <xf numFmtId="0" fontId="40" fillId="0" borderId="9" xfId="0" applyNumberFormat="1" applyFont="1" applyBorder="1" applyAlignment="1">
      <alignment horizontal="left" vertical="center" wrapText="1" indent="1"/>
    </xf>
    <xf numFmtId="49" fontId="85" fillId="7" borderId="4" xfId="0" applyFont="1" applyFill="1" applyBorder="1" applyAlignment="1">
      <alignment horizontal="center" vertical="top" wrapText="1"/>
    </xf>
    <xf numFmtId="49" fontId="85" fillId="7" borderId="4" xfId="0" applyFont="1" applyFill="1" applyBorder="1" applyAlignment="1">
      <alignment horizontal="left" vertical="top" wrapText="1"/>
    </xf>
    <xf numFmtId="49" fontId="85" fillId="7" borderId="0" xfId="0" applyFont="1" applyFill="1" applyAlignment="1">
      <alignment horizontal="left" vertical="top" wrapText="1"/>
    </xf>
    <xf numFmtId="0" fontId="81" fillId="0" borderId="6" xfId="0" applyNumberFormat="1" applyFont="1" applyBorder="1" applyAlignment="1">
      <alignment horizontal="center" vertical="center" wrapText="1"/>
    </xf>
    <xf numFmtId="0" fontId="81" fillId="0" borderId="6" xfId="0" applyNumberFormat="1" applyFont="1" applyBorder="1" applyAlignment="1">
      <alignment horizontal="center" vertical="center"/>
    </xf>
    <xf numFmtId="49" fontId="40" fillId="9" borderId="4" xfId="34" applyNumberFormat="1" applyFont="1" applyFill="1" applyBorder="1" applyAlignment="1">
      <alignment horizontal="center" vertical="center"/>
    </xf>
    <xf numFmtId="0" fontId="40" fillId="9" borderId="4" xfId="0" applyNumberFormat="1" applyFont="1" applyFill="1" applyBorder="1" applyAlignment="1">
      <alignment horizontal="left" vertical="center" wrapText="1" indent="1"/>
    </xf>
    <xf numFmtId="0" fontId="40" fillId="9" borderId="4" xfId="0" applyNumberFormat="1" applyFont="1" applyFill="1" applyBorder="1" applyAlignment="1">
      <alignment vertical="center" wrapText="1"/>
    </xf>
    <xf numFmtId="49" fontId="40" fillId="0" borderId="4" xfId="34" applyNumberFormat="1" applyFont="1" applyBorder="1" applyAlignment="1">
      <alignment horizontal="center" vertical="center"/>
    </xf>
    <xf numFmtId="0" fontId="40" fillId="0" borderId="4" xfId="0" applyNumberFormat="1" applyFont="1" applyBorder="1" applyAlignment="1">
      <alignment horizontal="left" vertical="center" wrapText="1" indent="1"/>
    </xf>
    <xf numFmtId="0" fontId="40" fillId="9" borderId="4" xfId="0" applyNumberFormat="1" applyFont="1" applyFill="1" applyBorder="1" applyAlignment="1">
      <alignment horizontal="left" vertical="center" wrapText="1" indent="2"/>
    </xf>
    <xf numFmtId="49" fontId="40" fillId="0" borderId="4" xfId="0" applyFont="1" applyBorder="1" applyAlignment="1">
      <alignment horizontal="left" vertical="center" wrapText="1"/>
    </xf>
    <xf numFmtId="2" fontId="8" fillId="0" borderId="15" xfId="0" applyNumberFormat="1" applyFont="1" applyBorder="1" applyAlignment="1">
      <alignment horizontal="center" vertical="center" wrapText="1"/>
    </xf>
    <xf numFmtId="0" fontId="90" fillId="0" borderId="0" xfId="0" applyNumberFormat="1" applyFont="1" applyAlignment="1">
      <alignment horizontal="center" vertical="center" wrapText="1"/>
    </xf>
    <xf numFmtId="0" fontId="91" fillId="9" borderId="0" xfId="0" applyNumberFormat="1" applyFont="1" applyFill="1" applyAlignment="1">
      <alignment horizontal="right" vertical="center"/>
    </xf>
    <xf numFmtId="0" fontId="40" fillId="0" borderId="20" xfId="0" applyNumberFormat="1" applyFont="1" applyBorder="1" applyAlignment="1">
      <alignment vertical="center" wrapText="1"/>
    </xf>
    <xf numFmtId="49" fontId="13" fillId="0" borderId="6" xfId="0" applyFont="1" applyBorder="1" applyAlignment="1">
      <alignment horizontal="left" vertical="center" wrapText="1"/>
    </xf>
    <xf numFmtId="49" fontId="13" fillId="0" borderId="7" xfId="0" applyFont="1" applyBorder="1" applyAlignment="1">
      <alignment horizontal="left" vertical="center" wrapText="1"/>
    </xf>
    <xf numFmtId="4" fontId="8" fillId="0" borderId="9" xfId="0" applyNumberFormat="1" applyFont="1" applyBorder="1" applyAlignment="1">
      <alignment horizontal="center" vertical="center" wrapText="1"/>
    </xf>
    <xf numFmtId="4" fontId="8" fillId="0" borderId="24" xfId="0" applyNumberFormat="1" applyFont="1" applyBorder="1" applyAlignment="1">
      <alignment horizontal="center" vertical="center" wrapText="1"/>
    </xf>
    <xf numFmtId="49" fontId="13" fillId="0" borderId="29" xfId="0" applyFont="1" applyBorder="1" applyAlignment="1">
      <alignment horizontal="left" vertical="center" wrapText="1"/>
    </xf>
    <xf numFmtId="49" fontId="13" fillId="0" borderId="19" xfId="0" applyFont="1" applyBorder="1" applyAlignment="1">
      <alignment horizontal="left" vertical="center" wrapText="1"/>
    </xf>
    <xf numFmtId="0" fontId="8" fillId="0" borderId="28" xfId="0" applyNumberFormat="1" applyFont="1" applyBorder="1" applyAlignment="1">
      <alignment vertical="center" wrapText="1"/>
    </xf>
    <xf numFmtId="0" fontId="8" fillId="0" borderId="24" xfId="0" applyNumberFormat="1" applyFont="1" applyBorder="1" applyAlignment="1">
      <alignment horizontal="left" vertical="center" wrapText="1"/>
    </xf>
    <xf numFmtId="4" fontId="8" fillId="0" borderId="32" xfId="0" applyNumberFormat="1" applyFont="1" applyBorder="1" applyAlignment="1">
      <alignment horizontal="center" vertical="center" wrapText="1"/>
    </xf>
    <xf numFmtId="0" fontId="40" fillId="0" borderId="0" xfId="0" applyNumberFormat="1" applyFont="1" applyAlignment="1">
      <alignment horizontal="center" vertical="top"/>
    </xf>
    <xf numFmtId="0" fontId="40" fillId="0" borderId="15" xfId="0" applyNumberFormat="1" applyFont="1" applyBorder="1" applyAlignment="1">
      <alignment vertical="center" wrapText="1"/>
    </xf>
    <xf numFmtId="4" fontId="40" fillId="0" borderId="4" xfId="0" applyNumberFormat="1" applyFont="1" applyBorder="1" applyAlignment="1">
      <alignment horizontal="right" vertical="center" wrapText="1"/>
    </xf>
    <xf numFmtId="2" fontId="40" fillId="0" borderId="15" xfId="0" applyNumberFormat="1" applyFont="1" applyBorder="1" applyAlignment="1">
      <alignment horizontal="center" vertical="center" wrapText="1"/>
    </xf>
    <xf numFmtId="49" fontId="40" fillId="0" borderId="6" xfId="0" applyFont="1" applyBorder="1" applyAlignment="1">
      <alignment horizontal="left" vertical="center"/>
    </xf>
    <xf numFmtId="49" fontId="40" fillId="0" borderId="7" xfId="0" applyFont="1" applyBorder="1" applyAlignment="1">
      <alignment horizontal="left" vertical="center" indent="1"/>
    </xf>
    <xf numFmtId="49" fontId="40" fillId="0" borderId="7" xfId="0" applyFont="1" applyBorder="1" applyAlignment="1">
      <alignment horizontal="left" vertical="center"/>
    </xf>
    <xf numFmtId="0" fontId="40" fillId="0" borderId="4" xfId="0" applyNumberFormat="1" applyFont="1" applyBorder="1" applyAlignment="1">
      <alignment horizontal="left" vertical="center" indent="1"/>
    </xf>
    <xf numFmtId="49" fontId="0" fillId="0" borderId="11" xfId="0" applyBorder="1">
      <alignment vertical="top"/>
    </xf>
    <xf numFmtId="49" fontId="33" fillId="0" borderId="11" xfId="0" applyFont="1" applyBorder="1" applyAlignment="1">
      <alignment horizontal="right" vertical="center"/>
    </xf>
    <xf numFmtId="0" fontId="8" fillId="15" borderId="4" xfId="0" applyNumberFormat="1" applyFont="1" applyFill="1" applyBorder="1" applyAlignment="1">
      <alignment horizontal="left" vertical="center" wrapText="1" indent="1"/>
    </xf>
    <xf numFmtId="0" fontId="51" fillId="9" borderId="0" xfId="33" applyFont="1" applyFill="1" applyAlignment="1">
      <alignment horizontal="left" vertical="center" wrapText="1" indent="1"/>
    </xf>
    <xf numFmtId="49" fontId="0" fillId="0" borderId="1" xfId="0" applyBorder="1" applyAlignment="1">
      <alignment horizontal="left" vertical="center" wrapText="1" indent="1"/>
    </xf>
    <xf numFmtId="0" fontId="8" fillId="0" borderId="0" xfId="33" applyAlignment="1">
      <alignment horizontal="left" vertical="center" wrapText="1" indent="1"/>
    </xf>
    <xf numFmtId="49" fontId="13" fillId="6" borderId="5" xfId="0" applyFont="1" applyFill="1" applyBorder="1" applyAlignment="1" applyProtection="1">
      <alignment horizontal="left" vertical="center" wrapText="1"/>
      <protection locked="0"/>
    </xf>
    <xf numFmtId="0" fontId="8" fillId="0" borderId="20" xfId="0" applyNumberFormat="1" applyFont="1" applyBorder="1" applyAlignment="1">
      <alignment vertical="center" wrapText="1"/>
    </xf>
    <xf numFmtId="49" fontId="8" fillId="13" borderId="33" xfId="0" applyFont="1" applyFill="1" applyBorder="1" applyAlignment="1">
      <alignment horizontal="center" vertical="center" wrapText="1"/>
    </xf>
    <xf numFmtId="49" fontId="19" fillId="13" borderId="34" xfId="0" applyFont="1" applyFill="1" applyBorder="1" applyAlignment="1">
      <alignment horizontal="right" vertical="center" wrapText="1"/>
    </xf>
    <xf numFmtId="49" fontId="19" fillId="13" borderId="35" xfId="0" applyFont="1" applyFill="1" applyBorder="1" applyAlignment="1">
      <alignment horizontal="right" vertical="center" wrapText="1"/>
    </xf>
    <xf numFmtId="49" fontId="84" fillId="0" borderId="0" xfId="0" applyFont="1" applyAlignment="1">
      <alignment vertical="center" wrapText="1"/>
    </xf>
    <xf numFmtId="49" fontId="0" fillId="0" borderId="0" xfId="0" applyAlignment="1">
      <alignment vertical="center" wrapText="1"/>
    </xf>
    <xf numFmtId="49" fontId="25" fillId="21" borderId="0" xfId="0" applyFont="1" applyFill="1" applyAlignment="1">
      <alignment horizontal="center" vertical="center"/>
    </xf>
    <xf numFmtId="0" fontId="0" fillId="22" borderId="0" xfId="0" applyNumberFormat="1" applyFill="1" applyAlignment="1">
      <alignment horizontal="left" vertical="center"/>
    </xf>
    <xf numFmtId="0" fontId="0" fillId="23" borderId="4" xfId="0" applyNumberFormat="1" applyFill="1" applyBorder="1" applyAlignment="1">
      <alignment horizontal="center" vertical="center"/>
    </xf>
    <xf numFmtId="49" fontId="39" fillId="21" borderId="4" xfId="0" applyFont="1" applyFill="1" applyBorder="1" applyAlignment="1">
      <alignment horizontal="center" vertical="center"/>
    </xf>
    <xf numFmtId="49" fontId="39" fillId="24" borderId="4" xfId="0" applyFont="1" applyFill="1" applyBorder="1" applyAlignment="1">
      <alignment horizontal="center" vertical="center"/>
    </xf>
    <xf numFmtId="49" fontId="0" fillId="25" borderId="4" xfId="0" applyFill="1" applyBorder="1" applyAlignment="1">
      <alignment horizontal="center" vertical="center"/>
    </xf>
    <xf numFmtId="0" fontId="8" fillId="0" borderId="4" xfId="0" applyNumberFormat="1" applyFont="1" applyBorder="1" applyAlignment="1">
      <alignment vertical="center"/>
    </xf>
    <xf numFmtId="0" fontId="0" fillId="0" borderId="4" xfId="0" applyNumberFormat="1" applyBorder="1" applyAlignment="1">
      <alignment vertical="center"/>
    </xf>
    <xf numFmtId="49" fontId="8" fillId="0" borderId="36" xfId="0" applyFont="1" applyBorder="1" applyAlignment="1">
      <alignment vertical="center"/>
    </xf>
    <xf numFmtId="49" fontId="8" fillId="0" borderId="37" xfId="0" applyFont="1" applyBorder="1">
      <alignment vertical="top"/>
    </xf>
    <xf numFmtId="0" fontId="0" fillId="0" borderId="5" xfId="0" applyNumberFormat="1" applyBorder="1" applyAlignment="1">
      <alignment vertical="center"/>
    </xf>
    <xf numFmtId="0" fontId="0" fillId="0" borderId="4" xfId="0" applyNumberFormat="1" applyBorder="1" applyAlignment="1">
      <alignment horizontal="right" vertical="top"/>
    </xf>
    <xf numFmtId="0" fontId="0" fillId="0" borderId="4" xfId="0" applyNumberFormat="1" applyBorder="1">
      <alignment vertical="top"/>
    </xf>
    <xf numFmtId="0" fontId="8" fillId="0" borderId="5" xfId="0" applyNumberFormat="1" applyFont="1" applyBorder="1" applyAlignment="1">
      <alignment vertical="center"/>
    </xf>
    <xf numFmtId="49" fontId="8" fillId="0" borderId="4" xfId="0" applyFont="1" applyBorder="1" applyAlignment="1">
      <alignment vertical="center"/>
    </xf>
    <xf numFmtId="0" fontId="8" fillId="0" borderId="4" xfId="0" applyNumberFormat="1" applyFont="1" applyBorder="1">
      <alignment vertical="top"/>
    </xf>
    <xf numFmtId="49" fontId="8" fillId="0" borderId="4" xfId="0" applyFont="1" applyBorder="1">
      <alignment vertical="top"/>
    </xf>
    <xf numFmtId="49" fontId="8" fillId="0" borderId="6" xfId="0" applyFont="1" applyBorder="1">
      <alignment vertical="top"/>
    </xf>
    <xf numFmtId="0" fontId="0" fillId="0" borderId="9" xfId="0" applyNumberFormat="1" applyBorder="1">
      <alignment vertical="top"/>
    </xf>
    <xf numFmtId="0" fontId="8" fillId="0" borderId="9" xfId="0" applyNumberFormat="1" applyFont="1" applyBorder="1" applyAlignment="1">
      <alignment vertical="center"/>
    </xf>
    <xf numFmtId="49" fontId="8" fillId="0" borderId="23" xfId="0" applyFont="1" applyBorder="1" applyAlignment="1">
      <alignment horizontal="center" vertical="center"/>
    </xf>
    <xf numFmtId="49" fontId="0" fillId="6" borderId="23" xfId="0" applyFill="1" applyBorder="1" applyAlignment="1" applyProtection="1">
      <alignment horizontal="left" vertical="center"/>
      <protection locked="0"/>
    </xf>
    <xf numFmtId="49" fontId="0" fillId="0" borderId="23" xfId="0" applyBorder="1" applyAlignment="1">
      <alignment horizontal="right" vertical="center"/>
    </xf>
    <xf numFmtId="0" fontId="0" fillId="11" borderId="23" xfId="0" applyNumberFormat="1" applyFill="1" applyBorder="1" applyAlignment="1">
      <alignment horizontal="center" vertical="center"/>
    </xf>
    <xf numFmtId="49" fontId="0" fillId="0" borderId="23" xfId="0" applyBorder="1" applyAlignment="1">
      <alignment horizontal="center" vertical="center"/>
    </xf>
    <xf numFmtId="49" fontId="0" fillId="0" borderId="0" xfId="0" applyAlignment="1">
      <alignment horizontal="left" vertical="center"/>
    </xf>
    <xf numFmtId="0" fontId="92" fillId="0" borderId="38" xfId="0" applyNumberFormat="1" applyFont="1" applyBorder="1" applyAlignment="1">
      <alignment horizontal="center" vertical="center"/>
    </xf>
    <xf numFmtId="0" fontId="0" fillId="0" borderId="38" xfId="0" applyNumberFormat="1" applyBorder="1" applyAlignment="1">
      <alignment horizontal="center" vertical="center"/>
    </xf>
    <xf numFmtId="49" fontId="25" fillId="21" borderId="4" xfId="0" applyFont="1" applyFill="1" applyBorder="1" applyAlignment="1">
      <alignment horizontal="right" vertical="center"/>
    </xf>
    <xf numFmtId="49" fontId="8" fillId="6" borderId="29" xfId="0" applyFont="1" applyFill="1" applyBorder="1" applyProtection="1">
      <alignment vertical="top"/>
      <protection locked="0"/>
    </xf>
    <xf numFmtId="49" fontId="8" fillId="7" borderId="15" xfId="0" applyFont="1" applyFill="1" applyBorder="1">
      <alignment vertical="top"/>
    </xf>
    <xf numFmtId="49" fontId="8" fillId="7" borderId="4" xfId="0" applyFont="1" applyFill="1" applyBorder="1">
      <alignment vertical="top"/>
    </xf>
    <xf numFmtId="0" fontId="0" fillId="0" borderId="24" xfId="0" applyNumberFormat="1" applyBorder="1" applyAlignment="1">
      <alignment horizontal="center" vertical="center"/>
    </xf>
    <xf numFmtId="0" fontId="0" fillId="0" borderId="23" xfId="0" applyNumberFormat="1" applyBorder="1" applyAlignment="1">
      <alignment horizontal="center" vertical="center"/>
    </xf>
    <xf numFmtId="49" fontId="25" fillId="21" borderId="6" xfId="0" applyFont="1" applyFill="1" applyBorder="1" applyAlignment="1">
      <alignment horizontal="right" vertical="center"/>
    </xf>
    <xf numFmtId="0" fontId="0" fillId="22" borderId="0" xfId="0" applyNumberFormat="1" applyFill="1" applyAlignment="1">
      <alignment horizontal="right" vertical="center"/>
    </xf>
    <xf numFmtId="0" fontId="93" fillId="0" borderId="39" xfId="0" applyNumberFormat="1" applyFont="1" applyBorder="1" applyAlignment="1">
      <alignment horizontal="left" vertical="center" indent="1"/>
    </xf>
    <xf numFmtId="0" fontId="93" fillId="0" borderId="40" xfId="0" applyNumberFormat="1" applyFont="1" applyBorder="1" applyAlignment="1">
      <alignment horizontal="left" vertical="center" indent="1"/>
    </xf>
    <xf numFmtId="0" fontId="93" fillId="0" borderId="41" xfId="0" applyNumberFormat="1" applyFont="1" applyBorder="1" applyAlignment="1">
      <alignment horizontal="left" vertical="center" indent="1"/>
    </xf>
    <xf numFmtId="0" fontId="8" fillId="0" borderId="0" xfId="0" applyNumberFormat="1" applyFont="1" applyAlignment="1">
      <alignment horizontal="left" vertical="center" wrapText="1" indent="3"/>
    </xf>
    <xf numFmtId="0" fontId="8" fillId="14" borderId="4" xfId="0" applyNumberFormat="1" applyFont="1" applyFill="1" applyBorder="1" applyAlignment="1" applyProtection="1">
      <alignment horizontal="left" vertical="center" wrapText="1" indent="1"/>
      <protection locked="0"/>
    </xf>
    <xf numFmtId="49" fontId="39" fillId="21" borderId="0" xfId="0" applyFont="1" applyFill="1" applyAlignment="1">
      <alignment horizontal="center" vertical="center" wrapText="1"/>
    </xf>
    <xf numFmtId="49" fontId="94" fillId="0" borderId="8" xfId="0" applyFont="1" applyBorder="1">
      <alignment vertical="top"/>
    </xf>
    <xf numFmtId="0" fontId="8" fillId="0" borderId="6" xfId="0" applyNumberFormat="1" applyFont="1" applyBorder="1" applyAlignment="1">
      <alignment horizontal="left" vertical="center"/>
    </xf>
    <xf numFmtId="0" fontId="0" fillId="0" borderId="6" xfId="0" applyNumberFormat="1" applyBorder="1" applyAlignment="1">
      <alignment horizontal="left" vertical="center"/>
    </xf>
    <xf numFmtId="0" fontId="8" fillId="13" borderId="42" xfId="0" applyNumberFormat="1" applyFont="1" applyFill="1" applyBorder="1" applyAlignment="1">
      <alignment vertical="center" wrapText="1"/>
    </xf>
    <xf numFmtId="0" fontId="8" fillId="13" borderId="43" xfId="0" applyNumberFormat="1" applyFont="1" applyFill="1" applyBorder="1" applyAlignment="1">
      <alignment vertical="center" wrapText="1"/>
    </xf>
    <xf numFmtId="49" fontId="95" fillId="13" borderId="6" xfId="0" applyFont="1" applyFill="1" applyBorder="1" applyAlignment="1">
      <alignment horizontal="left" vertical="center" indent="1"/>
    </xf>
    <xf numFmtId="49" fontId="95" fillId="13" borderId="7" xfId="0" applyFont="1" applyFill="1" applyBorder="1" applyAlignment="1">
      <alignment horizontal="left" vertical="center" indent="1"/>
    </xf>
    <xf numFmtId="49" fontId="84" fillId="13" borderId="35" xfId="0" applyFont="1" applyFill="1" applyBorder="1" applyAlignment="1">
      <alignment horizontal="center" vertical="center"/>
    </xf>
    <xf numFmtId="49" fontId="95" fillId="13" borderId="35" xfId="0" applyFont="1" applyFill="1" applyBorder="1" applyAlignment="1">
      <alignment horizontal="left" vertical="center" indent="1"/>
    </xf>
    <xf numFmtId="49" fontId="96" fillId="0" borderId="0" xfId="0" applyFont="1" applyAlignment="1">
      <alignment horizontal="center" vertical="top" wrapText="1"/>
    </xf>
    <xf numFmtId="0" fontId="38" fillId="0" borderId="4" xfId="0" applyNumberFormat="1" applyFont="1" applyBorder="1" applyAlignment="1">
      <alignment horizontal="center" vertical="center"/>
    </xf>
    <xf numFmtId="49" fontId="95" fillId="13" borderId="44" xfId="0" applyFont="1" applyFill="1" applyBorder="1" applyAlignment="1">
      <alignment horizontal="left" vertical="center" indent="1"/>
    </xf>
    <xf numFmtId="0" fontId="8" fillId="13" borderId="45" xfId="0" applyNumberFormat="1" applyFont="1" applyFill="1" applyBorder="1" applyAlignment="1">
      <alignment vertical="center" wrapText="1"/>
    </xf>
    <xf numFmtId="0" fontId="0" fillId="0" borderId="41" xfId="0" applyNumberFormat="1" applyBorder="1" applyAlignment="1">
      <alignment horizontal="left" vertical="center" wrapText="1"/>
    </xf>
    <xf numFmtId="0" fontId="8" fillId="0" borderId="41" xfId="0" applyNumberFormat="1" applyFont="1" applyBorder="1" applyAlignment="1">
      <alignment vertical="center" wrapText="1"/>
    </xf>
    <xf numFmtId="0" fontId="8" fillId="0" borderId="46" xfId="0" applyNumberFormat="1" applyFont="1" applyBorder="1" applyAlignment="1">
      <alignment vertical="center" wrapText="1"/>
    </xf>
    <xf numFmtId="0" fontId="8" fillId="0" borderId="47" xfId="0" applyNumberFormat="1" applyFont="1" applyBorder="1" applyAlignment="1">
      <alignment vertical="center" wrapText="1"/>
    </xf>
    <xf numFmtId="0" fontId="0" fillId="13" borderId="42" xfId="0" applyNumberFormat="1" applyFill="1" applyBorder="1" applyAlignment="1">
      <alignment horizontal="left" vertical="center"/>
    </xf>
    <xf numFmtId="0" fontId="8" fillId="0" borderId="28" xfId="0" applyNumberFormat="1" applyFont="1" applyBorder="1" applyAlignment="1">
      <alignment horizontal="center" vertical="center" wrapText="1"/>
    </xf>
    <xf numFmtId="0" fontId="30" fillId="0" borderId="16" xfId="0" applyNumberFormat="1" applyFont="1" applyBorder="1" applyAlignment="1">
      <alignment horizontal="center" vertical="center" wrapText="1"/>
    </xf>
    <xf numFmtId="49" fontId="33" fillId="13" borderId="43" xfId="0" applyFont="1" applyFill="1" applyBorder="1" applyAlignment="1">
      <alignment horizontal="left" vertical="center" indent="1"/>
    </xf>
    <xf numFmtId="49" fontId="29" fillId="0" borderId="4" xfId="0" applyFont="1" applyBorder="1" applyAlignment="1">
      <alignment horizontal="center" vertical="center"/>
    </xf>
    <xf numFmtId="49" fontId="29" fillId="7" borderId="4" xfId="0" applyFont="1" applyFill="1" applyBorder="1" applyAlignment="1">
      <alignment horizontal="center" vertical="center"/>
    </xf>
    <xf numFmtId="0" fontId="29" fillId="0" borderId="4" xfId="0" applyNumberFormat="1" applyFont="1" applyBorder="1" applyAlignment="1">
      <alignment horizontal="center" vertical="center"/>
    </xf>
    <xf numFmtId="49" fontId="29" fillId="0" borderId="15" xfId="0" applyFont="1" applyBorder="1" applyAlignment="1">
      <alignment horizontal="center" vertical="center"/>
    </xf>
    <xf numFmtId="49" fontId="39" fillId="0" borderId="9" xfId="0" applyFont="1" applyBorder="1" applyAlignment="1">
      <alignment horizontal="center" vertical="center"/>
    </xf>
    <xf numFmtId="49" fontId="8" fillId="0" borderId="9" xfId="0" applyFont="1" applyBorder="1" applyAlignment="1">
      <alignment horizontal="center" vertical="center"/>
    </xf>
    <xf numFmtId="0" fontId="8" fillId="0" borderId="9" xfId="0" applyNumberFormat="1" applyFont="1" applyBorder="1" applyAlignment="1">
      <alignment horizontal="right" vertical="center"/>
    </xf>
    <xf numFmtId="0" fontId="8" fillId="0" borderId="9" xfId="0" applyNumberFormat="1" applyFont="1" applyBorder="1" applyAlignment="1">
      <alignment horizontal="center" vertical="center"/>
    </xf>
    <xf numFmtId="0" fontId="8" fillId="0" borderId="4" xfId="0" applyNumberFormat="1" applyFont="1" applyBorder="1" applyAlignment="1">
      <alignment horizontal="right" vertical="center"/>
    </xf>
    <xf numFmtId="49" fontId="8" fillId="0" borderId="48" xfId="0" applyFont="1" applyBorder="1" applyAlignment="1">
      <alignment horizontal="center" vertical="center"/>
    </xf>
    <xf numFmtId="0" fontId="8" fillId="0" borderId="48" xfId="0" applyNumberFormat="1" applyFont="1" applyBorder="1" applyAlignment="1">
      <alignment horizontal="right" vertical="center"/>
    </xf>
    <xf numFmtId="0" fontId="8" fillId="0" borderId="48" xfId="0" applyNumberFormat="1" applyFont="1" applyBorder="1" applyAlignment="1">
      <alignment horizontal="center" vertical="center"/>
    </xf>
    <xf numFmtId="0" fontId="8" fillId="0" borderId="7" xfId="0" applyNumberFormat="1" applyFont="1" applyBorder="1" applyAlignment="1">
      <alignment horizontal="right" vertical="center"/>
    </xf>
    <xf numFmtId="0" fontId="8" fillId="0" borderId="5" xfId="0" applyNumberFormat="1" applyFont="1" applyBorder="1" applyAlignment="1">
      <alignment horizontal="right" vertical="center"/>
    </xf>
    <xf numFmtId="0" fontId="8" fillId="7" borderId="4" xfId="0" applyNumberFormat="1" applyFont="1" applyFill="1" applyBorder="1" applyAlignment="1">
      <alignment horizontal="right" vertical="center"/>
    </xf>
    <xf numFmtId="3" fontId="8" fillId="6" borderId="4" xfId="0" applyNumberFormat="1" applyFont="1" applyFill="1" applyBorder="1" applyAlignment="1" applyProtection="1">
      <alignment horizontal="right" vertical="center"/>
      <protection locked="0"/>
    </xf>
    <xf numFmtId="4" fontId="8" fillId="6" borderId="4" xfId="0" applyNumberFormat="1" applyFont="1" applyFill="1" applyBorder="1" applyAlignment="1" applyProtection="1">
      <alignment horizontal="right" vertical="center"/>
      <protection locked="0"/>
    </xf>
    <xf numFmtId="49" fontId="33" fillId="13" borderId="49" xfId="0" applyFont="1" applyFill="1" applyBorder="1" applyAlignment="1">
      <alignment horizontal="left" vertical="center" indent="1"/>
    </xf>
    <xf numFmtId="49" fontId="33" fillId="26" borderId="5" xfId="0" applyFont="1" applyFill="1" applyBorder="1" applyAlignment="1">
      <alignment horizontal="left" vertical="center" indent="1"/>
    </xf>
    <xf numFmtId="0" fontId="8" fillId="6" borderId="4" xfId="0" applyNumberFormat="1" applyFont="1" applyFill="1" applyBorder="1" applyAlignment="1" applyProtection="1">
      <alignment horizontal="left" vertical="center" indent="1"/>
      <protection locked="0"/>
    </xf>
    <xf numFmtId="0" fontId="8" fillId="22" borderId="0" xfId="0" applyNumberFormat="1" applyFont="1" applyFill="1" applyAlignment="1">
      <alignment horizontal="left" vertical="center"/>
    </xf>
    <xf numFmtId="0" fontId="8" fillId="9" borderId="4" xfId="0" applyNumberFormat="1" applyFont="1" applyFill="1" applyBorder="1" applyAlignment="1">
      <alignment horizontal="left" vertical="center" wrapText="1"/>
    </xf>
    <xf numFmtId="0" fontId="8" fillId="9" borderId="11" xfId="0" applyNumberFormat="1" applyFont="1" applyFill="1" applyBorder="1" applyAlignment="1">
      <alignment vertical="center" wrapText="1"/>
    </xf>
    <xf numFmtId="0" fontId="40" fillId="0" borderId="31" xfId="0" applyNumberFormat="1" applyFont="1" applyBorder="1" applyAlignment="1">
      <alignment vertical="center" wrapText="1"/>
    </xf>
    <xf numFmtId="49" fontId="0" fillId="11" borderId="4" xfId="0" applyFill="1" applyBorder="1" applyAlignment="1">
      <alignment horizontal="center" vertical="center"/>
    </xf>
    <xf numFmtId="49" fontId="8" fillId="0" borderId="14" xfId="0" applyFont="1" applyBorder="1">
      <alignment vertical="top"/>
    </xf>
    <xf numFmtId="0" fontId="8" fillId="0" borderId="14" xfId="0" applyNumberFormat="1" applyFont="1" applyBorder="1" applyAlignment="1">
      <alignment vertical="center" wrapText="1"/>
    </xf>
    <xf numFmtId="4" fontId="0" fillId="6" borderId="4" xfId="0" applyNumberFormat="1" applyFill="1" applyBorder="1" applyAlignment="1" applyProtection="1">
      <alignment horizontal="right" vertical="center" wrapText="1"/>
      <protection locked="0"/>
    </xf>
    <xf numFmtId="49" fontId="0" fillId="0" borderId="4" xfId="0" applyBorder="1" applyAlignment="1">
      <alignment horizontal="left" vertical="center" wrapText="1" indent="2"/>
    </xf>
    <xf numFmtId="49" fontId="0" fillId="0" borderId="4" xfId="0" applyBorder="1" applyAlignment="1">
      <alignment horizontal="left" vertical="center" wrapText="1" indent="3"/>
    </xf>
    <xf numFmtId="0" fontId="8" fillId="0" borderId="30" xfId="0" applyNumberFormat="1" applyFont="1" applyBorder="1" applyAlignment="1">
      <alignment vertical="center"/>
    </xf>
    <xf numFmtId="49" fontId="8" fillId="14" borderId="9" xfId="0" applyFont="1" applyFill="1" applyBorder="1" applyAlignment="1" applyProtection="1">
      <alignment horizontal="left" vertical="center" wrapText="1" indent="1"/>
      <protection locked="0"/>
    </xf>
    <xf numFmtId="0" fontId="8" fillId="9" borderId="20" xfId="0" applyNumberFormat="1" applyFont="1" applyFill="1" applyBorder="1" applyAlignment="1">
      <alignment vertical="center" wrapText="1"/>
    </xf>
    <xf numFmtId="0" fontId="40" fillId="9" borderId="11" xfId="0" applyNumberFormat="1" applyFont="1" applyFill="1" applyBorder="1" applyAlignment="1">
      <alignment horizontal="center" vertical="center" wrapText="1"/>
    </xf>
    <xf numFmtId="49" fontId="63" fillId="0" borderId="0" xfId="0" applyFont="1" applyAlignment="1">
      <alignment vertical="center" wrapText="1"/>
    </xf>
    <xf numFmtId="0" fontId="97" fillId="9" borderId="0" xfId="0" applyNumberFormat="1" applyFont="1" applyFill="1" applyAlignment="1">
      <alignment vertical="center" wrapText="1"/>
    </xf>
    <xf numFmtId="0" fontId="62" fillId="0" borderId="0" xfId="0" applyNumberFormat="1" applyFont="1" applyAlignment="1">
      <alignment horizontal="left" vertical="center" wrapText="1"/>
    </xf>
    <xf numFmtId="49" fontId="40" fillId="9" borderId="0" xfId="0" applyFont="1" applyFill="1" applyAlignment="1">
      <alignment horizontal="center" vertical="center" wrapText="1"/>
    </xf>
    <xf numFmtId="0" fontId="72" fillId="0" borderId="0" xfId="0" applyNumberFormat="1" applyFont="1" applyAlignment="1">
      <alignment vertical="center" wrapText="1"/>
    </xf>
    <xf numFmtId="4" fontId="0" fillId="9" borderId="6" xfId="0" applyNumberFormat="1" applyFill="1" applyBorder="1" applyAlignment="1">
      <alignment horizontal="right" vertical="center"/>
    </xf>
    <xf numFmtId="0" fontId="8" fillId="0" borderId="6" xfId="0" applyNumberFormat="1" applyFont="1" applyBorder="1" applyAlignment="1">
      <alignment horizontal="left" vertical="center" wrapText="1" indent="6"/>
    </xf>
    <xf numFmtId="49" fontId="8" fillId="13" borderId="22" xfId="0" applyFont="1" applyFill="1" applyBorder="1" applyAlignment="1">
      <alignment horizontal="center" vertical="center" wrapText="1"/>
    </xf>
    <xf numFmtId="0" fontId="40" fillId="0" borderId="0" xfId="0" applyNumberFormat="1" applyFont="1" applyAlignment="1">
      <alignment vertical="top" wrapText="1"/>
    </xf>
    <xf numFmtId="0" fontId="98" fillId="9" borderId="0" xfId="0" applyNumberFormat="1" applyFont="1" applyFill="1" applyAlignment="1">
      <alignment vertical="center" wrapText="1"/>
    </xf>
    <xf numFmtId="49" fontId="70" fillId="9" borderId="11" xfId="0" applyFont="1" applyFill="1" applyBorder="1" applyAlignment="1">
      <alignment horizontal="center" vertical="center" wrapText="1"/>
    </xf>
    <xf numFmtId="0" fontId="70" fillId="9" borderId="11" xfId="0" applyNumberFormat="1" applyFont="1" applyFill="1" applyBorder="1" applyAlignment="1">
      <alignment horizontal="center" vertical="center" wrapText="1"/>
    </xf>
    <xf numFmtId="49" fontId="8" fillId="0" borderId="0" xfId="0" applyFont="1" applyAlignment="1">
      <alignment horizontal="left" vertical="center"/>
    </xf>
    <xf numFmtId="49" fontId="8" fillId="0" borderId="0" xfId="0" applyFont="1" applyAlignment="1">
      <alignment horizontal="left" vertical="top"/>
    </xf>
    <xf numFmtId="0" fontId="38" fillId="0" borderId="4" xfId="0" applyNumberFormat="1" applyFont="1" applyBorder="1" applyAlignment="1">
      <alignment vertical="top" wrapText="1"/>
    </xf>
    <xf numFmtId="0" fontId="8" fillId="15" borderId="4" xfId="0" applyNumberFormat="1" applyFont="1" applyFill="1" applyBorder="1" applyAlignment="1" applyProtection="1">
      <alignment horizontal="left" vertical="center" wrapText="1" indent="6"/>
      <protection locked="0"/>
    </xf>
    <xf numFmtId="0" fontId="99" fillId="0" borderId="0" xfId="0" applyNumberFormat="1" applyFont="1" applyAlignment="1">
      <alignment vertical="center"/>
    </xf>
    <xf numFmtId="0" fontId="8" fillId="0" borderId="0" xfId="0" applyNumberFormat="1" applyFont="1" applyAlignment="1">
      <alignment horizontal="left" vertical="center" indent="1"/>
    </xf>
    <xf numFmtId="49" fontId="100" fillId="13" borderId="7" xfId="0" applyFont="1" applyFill="1" applyBorder="1" applyAlignment="1">
      <alignment horizontal="left" vertical="center" indent="3"/>
    </xf>
    <xf numFmtId="49" fontId="63" fillId="13" borderId="7" xfId="0" applyFont="1" applyFill="1" applyBorder="1" applyAlignment="1">
      <alignment horizontal="center" vertical="center" wrapText="1"/>
    </xf>
    <xf numFmtId="49" fontId="57" fillId="13" borderId="7" xfId="0" applyFont="1" applyFill="1" applyBorder="1" applyAlignment="1">
      <alignment horizontal="center" vertical="center" wrapText="1"/>
    </xf>
    <xf numFmtId="49" fontId="57" fillId="13" borderId="5" xfId="0" applyFont="1" applyFill="1" applyBorder="1" applyAlignment="1">
      <alignment horizontal="center" vertical="center" wrapText="1"/>
    </xf>
    <xf numFmtId="49" fontId="100" fillId="13" borderId="7" xfId="0" applyFont="1" applyFill="1" applyBorder="1" applyAlignment="1">
      <alignment horizontal="left" vertical="center" indent="2"/>
    </xf>
    <xf numFmtId="49" fontId="100" fillId="13" borderId="7" xfId="0" applyFont="1" applyFill="1" applyBorder="1" applyAlignment="1">
      <alignment horizontal="left" vertical="center" indent="1"/>
    </xf>
    <xf numFmtId="49" fontId="100" fillId="13" borderId="7" xfId="0" applyFont="1" applyFill="1" applyBorder="1" applyAlignment="1">
      <alignment horizontal="left" vertical="center"/>
    </xf>
    <xf numFmtId="0" fontId="8" fillId="9" borderId="0" xfId="0" applyNumberFormat="1" applyFont="1" applyFill="1" applyAlignment="1">
      <alignment horizontal="left" vertical="center" wrapText="1"/>
    </xf>
    <xf numFmtId="0" fontId="0" fillId="0" borderId="0" xfId="0" applyNumberFormat="1" applyAlignment="1">
      <alignment horizontal="left" vertical="center"/>
    </xf>
    <xf numFmtId="49" fontId="70" fillId="9" borderId="11" xfId="0" applyFont="1" applyFill="1" applyBorder="1" applyAlignment="1">
      <alignment horizontal="left" vertical="center" wrapText="1"/>
    </xf>
    <xf numFmtId="49" fontId="60" fillId="13" borderId="6" xfId="0" applyFont="1" applyFill="1" applyBorder="1" applyAlignment="1">
      <alignment horizontal="left" vertical="center"/>
    </xf>
    <xf numFmtId="49" fontId="91" fillId="13" borderId="6" xfId="0" applyFont="1" applyFill="1" applyBorder="1" applyAlignment="1">
      <alignment horizontal="left" vertical="center"/>
    </xf>
    <xf numFmtId="49" fontId="57" fillId="13" borderId="6" xfId="0" applyFont="1" applyFill="1" applyBorder="1" applyAlignment="1">
      <alignment horizontal="left" vertical="top"/>
    </xf>
    <xf numFmtId="0" fontId="44" fillId="22" borderId="0" xfId="0" applyNumberFormat="1" applyFont="1" applyFill="1" applyAlignment="1">
      <alignment horizontal="left" vertical="center"/>
    </xf>
    <xf numFmtId="49" fontId="8" fillId="0" borderId="11" xfId="0" applyFont="1" applyBorder="1" applyAlignment="1">
      <alignment horizontal="center" vertical="center" wrapText="1"/>
    </xf>
    <xf numFmtId="49" fontId="0" fillId="0" borderId="11" xfId="0" applyBorder="1" applyAlignment="1">
      <alignment horizontal="left" vertical="center" wrapText="1"/>
    </xf>
    <xf numFmtId="49" fontId="8" fillId="0" borderId="12" xfId="0" applyFont="1" applyBorder="1" applyAlignment="1">
      <alignment horizontal="left" vertical="center" wrapText="1"/>
    </xf>
    <xf numFmtId="0" fontId="33" fillId="0" borderId="0" xfId="0" applyNumberFormat="1" applyFont="1" applyAlignment="1">
      <alignment horizontal="left" vertical="center"/>
    </xf>
    <xf numFmtId="0" fontId="33" fillId="0" borderId="16" xfId="0" applyNumberFormat="1" applyFont="1" applyBorder="1" applyAlignment="1">
      <alignment horizontal="left" vertical="center"/>
    </xf>
    <xf numFmtId="0" fontId="33" fillId="0" borderId="19" xfId="0" applyNumberFormat="1" applyFont="1" applyBorder="1" applyAlignment="1">
      <alignment horizontal="left" vertical="center"/>
    </xf>
    <xf numFmtId="0" fontId="33" fillId="0" borderId="20" xfId="0" applyNumberFormat="1" applyFont="1" applyBorder="1" applyAlignment="1">
      <alignment horizontal="left" vertical="center"/>
    </xf>
    <xf numFmtId="0" fontId="0" fillId="0" borderId="20" xfId="0" applyNumberFormat="1" applyBorder="1" applyAlignment="1">
      <alignment vertical="center"/>
    </xf>
    <xf numFmtId="0" fontId="33" fillId="0" borderId="22" xfId="0" applyNumberFormat="1" applyFont="1" applyBorder="1" applyAlignment="1">
      <alignment horizontal="left" vertical="center"/>
    </xf>
    <xf numFmtId="0" fontId="38" fillId="0" borderId="9" xfId="0" applyNumberFormat="1" applyFont="1" applyBorder="1" applyAlignment="1">
      <alignment vertical="top" wrapText="1"/>
    </xf>
    <xf numFmtId="0" fontId="8" fillId="0" borderId="0" xfId="0" applyNumberFormat="1" applyFont="1" applyAlignment="1">
      <alignment horizontal="center" vertical="center"/>
    </xf>
    <xf numFmtId="49" fontId="98" fillId="0" borderId="0" xfId="0" applyFont="1">
      <alignment vertical="top"/>
    </xf>
    <xf numFmtId="49" fontId="87" fillId="0" borderId="11" xfId="0" applyFont="1" applyBorder="1" applyAlignment="1">
      <alignment horizontal="left" vertical="center"/>
    </xf>
    <xf numFmtId="49" fontId="40" fillId="0" borderId="11" xfId="0" applyFont="1" applyBorder="1" applyAlignment="1">
      <alignment horizontal="left" vertical="center" indent="3"/>
    </xf>
    <xf numFmtId="49" fontId="40" fillId="0" borderId="11" xfId="0" applyFont="1" applyBorder="1" applyAlignment="1">
      <alignment horizontal="center" vertical="center" wrapText="1"/>
    </xf>
    <xf numFmtId="49" fontId="40" fillId="0" borderId="0" xfId="0" applyFont="1" applyAlignment="1">
      <alignment horizontal="left" vertical="center"/>
    </xf>
    <xf numFmtId="49" fontId="87" fillId="0" borderId="0" xfId="0" applyFont="1" applyAlignment="1">
      <alignment horizontal="left" vertical="center"/>
    </xf>
    <xf numFmtId="49" fontId="40" fillId="0" borderId="0" xfId="0" applyFont="1" applyAlignment="1">
      <alignment horizontal="left" vertical="center" indent="2"/>
    </xf>
    <xf numFmtId="49" fontId="40" fillId="0" borderId="0" xfId="0" applyFont="1" applyAlignment="1">
      <alignment horizontal="left" vertical="center" indent="1"/>
    </xf>
    <xf numFmtId="0" fontId="0" fillId="0" borderId="5" xfId="0" applyNumberFormat="1" applyBorder="1" applyAlignment="1">
      <alignment horizontal="center" vertical="center" wrapText="1"/>
    </xf>
    <xf numFmtId="49" fontId="8" fillId="9" borderId="4" xfId="0" applyFont="1" applyFill="1" applyBorder="1" applyAlignment="1">
      <alignment horizontal="center" vertical="center" wrapText="1"/>
    </xf>
    <xf numFmtId="0" fontId="8" fillId="15" borderId="4" xfId="0" applyNumberFormat="1" applyFont="1" applyFill="1" applyBorder="1" applyAlignment="1">
      <alignment horizontal="left" vertical="center" wrapText="1" indent="6"/>
    </xf>
    <xf numFmtId="0" fontId="39" fillId="0" borderId="0" xfId="0" applyNumberFormat="1" applyFont="1" applyAlignment="1">
      <alignment horizontal="left" vertical="center" indent="1"/>
    </xf>
    <xf numFmtId="0" fontId="39" fillId="0" borderId="0" xfId="0" applyNumberFormat="1" applyFont="1" applyAlignment="1">
      <alignment horizontal="center" vertical="center"/>
    </xf>
    <xf numFmtId="49" fontId="39" fillId="0" borderId="4" xfId="0" applyFont="1" applyBorder="1" applyAlignment="1">
      <alignment vertical="center" wrapText="1"/>
    </xf>
    <xf numFmtId="0" fontId="59" fillId="0" borderId="0" xfId="0" applyNumberFormat="1" applyFont="1" applyAlignment="1">
      <alignment vertical="center" wrapText="1"/>
    </xf>
    <xf numFmtId="0" fontId="0" fillId="0" borderId="7" xfId="0" applyNumberFormat="1" applyBorder="1" applyAlignment="1">
      <alignment vertical="center"/>
    </xf>
    <xf numFmtId="0" fontId="63" fillId="0" borderId="0" xfId="0" applyNumberFormat="1" applyFont="1" applyAlignment="1">
      <alignment horizontal="left" vertical="center" indent="1"/>
    </xf>
    <xf numFmtId="0" fontId="63" fillId="0" borderId="0" xfId="0" applyNumberFormat="1" applyFont="1" applyAlignment="1">
      <alignment horizontal="center" vertical="center"/>
    </xf>
    <xf numFmtId="0" fontId="63" fillId="0" borderId="0" xfId="0" applyNumberFormat="1" applyFont="1" applyAlignment="1">
      <alignment horizontal="left" vertical="center" wrapText="1"/>
    </xf>
    <xf numFmtId="49" fontId="63" fillId="0" borderId="0" xfId="0" applyFont="1" applyAlignment="1">
      <alignment horizontal="left" vertical="center"/>
    </xf>
    <xf numFmtId="0" fontId="40" fillId="0" borderId="4" xfId="0" applyNumberFormat="1" applyFont="1" applyBorder="1" applyAlignment="1">
      <alignment horizontal="left" vertical="center" wrapText="1" indent="4"/>
    </xf>
    <xf numFmtId="0" fontId="40" fillId="0" borderId="4" xfId="0" applyNumberFormat="1" applyFont="1" applyBorder="1" applyAlignment="1">
      <alignment horizontal="left" vertical="center" wrapText="1" indent="6"/>
    </xf>
    <xf numFmtId="0" fontId="40" fillId="0" borderId="4" xfId="0" applyNumberFormat="1" applyFont="1" applyBorder="1" applyAlignment="1">
      <alignment vertical="top" wrapText="1"/>
    </xf>
    <xf numFmtId="49" fontId="87" fillId="0" borderId="6" xfId="0" applyFont="1" applyBorder="1" applyAlignment="1">
      <alignment horizontal="left" vertical="center"/>
    </xf>
    <xf numFmtId="49" fontId="40" fillId="0" borderId="7" xfId="0" applyFont="1" applyBorder="1" applyAlignment="1">
      <alignment horizontal="left" vertical="center" indent="4"/>
    </xf>
    <xf numFmtId="49" fontId="40" fillId="0" borderId="7" xfId="0" applyFont="1" applyBorder="1" applyAlignment="1">
      <alignment horizontal="center" vertical="center" wrapText="1"/>
    </xf>
    <xf numFmtId="49" fontId="40" fillId="0" borderId="5" xfId="0" applyFont="1" applyBorder="1" applyAlignment="1">
      <alignment horizontal="center" vertical="center" wrapText="1"/>
    </xf>
    <xf numFmtId="0" fontId="8" fillId="6" borderId="4" xfId="0" applyNumberFormat="1" applyFont="1" applyFill="1" applyBorder="1" applyAlignment="1" applyProtection="1">
      <alignment horizontal="left" vertical="center" wrapText="1" indent="7"/>
      <protection locked="0"/>
    </xf>
    <xf numFmtId="0" fontId="8" fillId="13" borderId="7" xfId="0" applyNumberFormat="1" applyFont="1" applyFill="1" applyBorder="1" applyAlignment="1">
      <alignment horizontal="left" vertical="center" wrapText="1" indent="6"/>
    </xf>
    <xf numFmtId="0" fontId="40" fillId="0" borderId="4" xfId="0" applyNumberFormat="1" applyFont="1" applyBorder="1" applyAlignment="1">
      <alignment horizontal="left" vertical="center" wrapText="1" indent="5"/>
    </xf>
    <xf numFmtId="49" fontId="63" fillId="0" borderId="16" xfId="0" applyFont="1" applyBorder="1">
      <alignment vertical="top"/>
    </xf>
    <xf numFmtId="49" fontId="40" fillId="0" borderId="16" xfId="0" applyFont="1" applyBorder="1">
      <alignment vertical="top"/>
    </xf>
    <xf numFmtId="49" fontId="40" fillId="0" borderId="4" xfId="0" applyFont="1" applyBorder="1" applyAlignment="1">
      <alignment horizontal="center" vertical="center" wrapText="1"/>
    </xf>
    <xf numFmtId="49" fontId="8" fillId="13" borderId="20" xfId="0" applyFont="1" applyFill="1" applyBorder="1" applyAlignment="1">
      <alignment horizontal="center" vertical="center" wrapText="1"/>
    </xf>
    <xf numFmtId="0" fontId="46" fillId="9" borderId="0" xfId="0" applyNumberFormat="1" applyFont="1" applyFill="1" applyAlignment="1">
      <alignment horizontal="center" vertical="center" wrapText="1"/>
    </xf>
    <xf numFmtId="49" fontId="25" fillId="0" borderId="0" xfId="0" applyFont="1" applyAlignment="1">
      <alignment horizontal="center" vertical="center"/>
    </xf>
    <xf numFmtId="0" fontId="44" fillId="0" borderId="0" xfId="0" applyNumberFormat="1" applyFont="1" applyAlignment="1">
      <alignment horizontal="left" vertical="center"/>
    </xf>
    <xf numFmtId="0" fontId="0" fillId="0" borderId="0" xfId="0" applyNumberFormat="1" applyAlignment="1">
      <alignment horizontal="right" vertical="top"/>
    </xf>
    <xf numFmtId="0" fontId="33" fillId="13" borderId="22" xfId="0" applyNumberFormat="1" applyFont="1" applyFill="1" applyBorder="1" applyAlignment="1">
      <alignment horizontal="left" vertical="center"/>
    </xf>
    <xf numFmtId="49" fontId="40" fillId="0" borderId="6" xfId="0" applyFont="1" applyBorder="1" applyAlignment="1">
      <alignment horizontal="left" vertical="center" wrapText="1"/>
    </xf>
    <xf numFmtId="0" fontId="40" fillId="0" borderId="6" xfId="0" applyNumberFormat="1" applyFont="1" applyBorder="1" applyAlignment="1">
      <alignment horizontal="left" vertical="center"/>
    </xf>
    <xf numFmtId="0" fontId="40" fillId="0" borderId="7" xfId="0" applyNumberFormat="1" applyFont="1" applyBorder="1" applyAlignment="1">
      <alignment horizontal="left" vertical="center"/>
    </xf>
    <xf numFmtId="49" fontId="8" fillId="6" borderId="4" xfId="0" applyFont="1" applyFill="1" applyBorder="1" applyAlignment="1" applyProtection="1">
      <alignment horizontal="left" vertical="center" wrapText="1" indent="6"/>
      <protection locked="0"/>
    </xf>
    <xf numFmtId="49" fontId="0" fillId="13" borderId="22" xfId="0" applyFill="1" applyBorder="1" applyAlignment="1">
      <alignment horizontal="center" vertical="center" wrapText="1"/>
    </xf>
    <xf numFmtId="0" fontId="101" fillId="0" borderId="0" xfId="0" applyNumberFormat="1" applyFont="1" applyAlignment="1">
      <alignment vertical="center" wrapText="1"/>
    </xf>
    <xf numFmtId="0" fontId="40" fillId="9" borderId="0" xfId="0" applyNumberFormat="1" applyFont="1" applyFill="1" applyAlignment="1">
      <alignment horizontal="center" vertical="center" wrapText="1"/>
    </xf>
    <xf numFmtId="0" fontId="8" fillId="9" borderId="16" xfId="0" applyNumberFormat="1" applyFont="1" applyFill="1" applyBorder="1" applyAlignment="1">
      <alignment horizontal="center" vertical="center" wrapText="1"/>
    </xf>
    <xf numFmtId="0" fontId="102" fillId="0" borderId="0" xfId="0" applyNumberFormat="1" applyFont="1" applyAlignment="1">
      <alignment vertical="center" wrapText="1"/>
    </xf>
    <xf numFmtId="0" fontId="102" fillId="9" borderId="0" xfId="0" applyNumberFormat="1" applyFont="1" applyFill="1" applyAlignment="1">
      <alignment horizontal="center" vertical="center" wrapText="1"/>
    </xf>
    <xf numFmtId="0" fontId="40" fillId="9" borderId="4" xfId="0" applyNumberFormat="1" applyFont="1" applyFill="1" applyBorder="1" applyAlignment="1">
      <alignment horizontal="left" vertical="center" wrapText="1" indent="3"/>
    </xf>
    <xf numFmtId="49" fontId="33" fillId="13" borderId="20" xfId="0" applyFont="1" applyFill="1" applyBorder="1" applyAlignment="1">
      <alignment horizontal="left" vertical="center"/>
    </xf>
    <xf numFmtId="0" fontId="102" fillId="0" borderId="0" xfId="0" applyNumberFormat="1" applyFont="1" applyAlignment="1">
      <alignment horizontal="center" vertical="center" wrapText="1"/>
    </xf>
    <xf numFmtId="49" fontId="40" fillId="0" borderId="0" xfId="0" applyFont="1" applyAlignment="1">
      <alignment horizontal="left" vertical="center" wrapText="1" indent="1"/>
    </xf>
    <xf numFmtId="0" fontId="40" fillId="0" borderId="0" xfId="0" applyNumberFormat="1" applyFont="1" applyAlignment="1">
      <alignment horizontal="left" vertical="center" wrapText="1" indent="4"/>
    </xf>
    <xf numFmtId="49" fontId="8" fillId="13" borderId="6" xfId="0" applyFont="1" applyFill="1" applyBorder="1" applyAlignment="1">
      <alignment horizontal="center" vertical="center" wrapText="1"/>
    </xf>
    <xf numFmtId="0" fontId="40" fillId="0" borderId="16" xfId="0" applyNumberFormat="1" applyFont="1" applyBorder="1" applyAlignment="1">
      <alignment horizontal="left" vertical="center" wrapText="1" indent="1"/>
    </xf>
    <xf numFmtId="0" fontId="39" fillId="0" borderId="0" xfId="0" applyNumberFormat="1" applyFont="1" applyAlignment="1">
      <alignment horizontal="left" vertical="center"/>
    </xf>
    <xf numFmtId="49" fontId="39" fillId="0" borderId="0" xfId="0" applyFont="1" applyAlignment="1">
      <alignment horizontal="left" vertical="center"/>
    </xf>
    <xf numFmtId="0" fontId="59" fillId="0" borderId="0" xfId="0" applyNumberFormat="1" applyFont="1" applyAlignment="1">
      <alignment horizontal="left" vertical="center"/>
    </xf>
    <xf numFmtId="0" fontId="40" fillId="0" borderId="0" xfId="0" applyNumberFormat="1" applyFont="1" applyAlignment="1">
      <alignment horizontal="left" vertical="center"/>
    </xf>
    <xf numFmtId="49" fontId="8" fillId="0" borderId="11" xfId="0" applyFont="1" applyBorder="1" applyAlignment="1">
      <alignment horizontal="left" vertical="center" wrapText="1"/>
    </xf>
    <xf numFmtId="49" fontId="39" fillId="0" borderId="0" xfId="0" applyFont="1" applyAlignment="1">
      <alignment horizontal="left" vertical="top"/>
    </xf>
    <xf numFmtId="49" fontId="8" fillId="9" borderId="4" xfId="34" applyNumberFormat="1" applyFont="1" applyFill="1" applyBorder="1" applyAlignment="1">
      <alignment horizontal="center" vertical="center"/>
    </xf>
    <xf numFmtId="49" fontId="8" fillId="0" borderId="4" xfId="34" applyNumberFormat="1" applyFont="1" applyBorder="1" applyAlignment="1">
      <alignment horizontal="center" vertical="center"/>
    </xf>
    <xf numFmtId="0" fontId="40" fillId="9" borderId="4" xfId="34" applyFont="1" applyFill="1" applyBorder="1" applyAlignment="1">
      <alignment horizontal="center" vertical="center"/>
    </xf>
    <xf numFmtId="0" fontId="63" fillId="9" borderId="0" xfId="0" applyNumberFormat="1" applyFont="1" applyFill="1" applyAlignment="1">
      <alignment vertical="center" wrapText="1"/>
    </xf>
    <xf numFmtId="0" fontId="57" fillId="9" borderId="0" xfId="0" applyNumberFormat="1" applyFont="1" applyFill="1" applyAlignment="1"/>
    <xf numFmtId="0" fontId="74" fillId="9" borderId="0" xfId="0" applyNumberFormat="1" applyFont="1" applyFill="1" applyAlignment="1"/>
    <xf numFmtId="0" fontId="58" fillId="9" borderId="0" xfId="0" applyNumberFormat="1" applyFont="1" applyFill="1" applyAlignment="1"/>
    <xf numFmtId="14" fontId="8" fillId="14" borderId="15" xfId="0" applyNumberFormat="1" applyFont="1" applyFill="1" applyBorder="1" applyAlignment="1" applyProtection="1">
      <alignment horizontal="left" vertical="center" wrapText="1" indent="1"/>
      <protection locked="0"/>
    </xf>
    <xf numFmtId="0" fontId="103" fillId="0" borderId="0" xfId="0" applyNumberFormat="1" applyFont="1" applyAlignment="1">
      <alignment vertical="center"/>
    </xf>
    <xf numFmtId="0" fontId="103" fillId="0" borderId="0" xfId="0" applyNumberFormat="1" applyFont="1" applyAlignment="1">
      <alignment vertical="center" wrapText="1"/>
    </xf>
    <xf numFmtId="171" fontId="8" fillId="0" borderId="15" xfId="0" applyNumberFormat="1" applyFont="1" applyBorder="1" applyAlignment="1">
      <alignment horizontal="center" vertical="center" wrapText="1"/>
    </xf>
    <xf numFmtId="14" fontId="8" fillId="14" borderId="4" xfId="0" applyNumberFormat="1" applyFont="1" applyFill="1" applyBorder="1" applyAlignment="1" applyProtection="1">
      <alignment horizontal="left" vertical="center" wrapText="1" indent="1"/>
      <protection locked="0"/>
    </xf>
    <xf numFmtId="0" fontId="8" fillId="11" borderId="15" xfId="0" applyNumberFormat="1" applyFont="1" applyFill="1" applyBorder="1" applyAlignment="1">
      <alignment horizontal="left" vertical="center" wrapText="1" indent="1"/>
    </xf>
    <xf numFmtId="171" fontId="8" fillId="0" borderId="9" xfId="0" applyNumberFormat="1" applyFont="1" applyBorder="1" applyAlignment="1">
      <alignment horizontal="center" vertical="center" wrapText="1"/>
    </xf>
    <xf numFmtId="49" fontId="19" fillId="13" borderId="19" xfId="0" applyFont="1" applyFill="1" applyBorder="1" applyAlignment="1">
      <alignment horizontal="right" vertical="center" wrapText="1"/>
    </xf>
    <xf numFmtId="49" fontId="0" fillId="13" borderId="20" xfId="0" applyFill="1" applyBorder="1" applyAlignment="1">
      <alignment horizontal="right" vertical="center" wrapText="1"/>
    </xf>
    <xf numFmtId="49" fontId="0" fillId="13" borderId="4" xfId="0" applyFill="1" applyBorder="1" applyAlignment="1">
      <alignment horizontal="right" vertical="center" wrapText="1"/>
    </xf>
    <xf numFmtId="49" fontId="19" fillId="13" borderId="20" xfId="0" applyFont="1" applyFill="1" applyBorder="1" applyAlignment="1">
      <alignment horizontal="right" vertical="center" wrapText="1"/>
    </xf>
    <xf numFmtId="49" fontId="13" fillId="14" borderId="15" xfId="0" applyFont="1" applyFill="1" applyBorder="1" applyAlignment="1" applyProtection="1">
      <alignment horizontal="left" vertical="center" wrapText="1"/>
      <protection locked="0"/>
    </xf>
    <xf numFmtId="49" fontId="13" fillId="14" borderId="19" xfId="0" applyFont="1" applyFill="1" applyBorder="1" applyAlignment="1" applyProtection="1">
      <alignment horizontal="left" vertical="center" wrapText="1"/>
      <protection locked="0"/>
    </xf>
    <xf numFmtId="49" fontId="13" fillId="13" borderId="20" xfId="0" applyFont="1" applyFill="1" applyBorder="1" applyAlignment="1">
      <alignment horizontal="left" vertical="center" wrapText="1"/>
    </xf>
    <xf numFmtId="49" fontId="13" fillId="13" borderId="15" xfId="0" applyFont="1" applyFill="1" applyBorder="1" applyAlignment="1">
      <alignment horizontal="left" vertical="center" wrapText="1"/>
    </xf>
    <xf numFmtId="0" fontId="40" fillId="0" borderId="20" xfId="0" applyNumberFormat="1" applyFont="1" applyBorder="1" applyAlignment="1">
      <alignment horizontal="center" vertical="center" wrapText="1"/>
    </xf>
    <xf numFmtId="0" fontId="45" fillId="0" borderId="0" xfId="0" applyNumberFormat="1" applyFont="1" applyAlignment="1">
      <alignment horizontal="center" vertical="center"/>
    </xf>
    <xf numFmtId="0" fontId="35" fillId="0" borderId="0" xfId="0" applyNumberFormat="1" applyFont="1" applyAlignment="1">
      <alignment horizontal="center" vertical="center" wrapText="1"/>
    </xf>
    <xf numFmtId="14" fontId="8" fillId="15" borderId="4" xfId="0" applyNumberFormat="1" applyFont="1" applyFill="1" applyBorder="1" applyAlignment="1">
      <alignment horizontal="left" vertical="center" wrapText="1"/>
    </xf>
    <xf numFmtId="171" fontId="8" fillId="0" borderId="29" xfId="0" applyNumberFormat="1" applyFont="1" applyBorder="1" applyAlignment="1">
      <alignment horizontal="center" vertical="center" wrapText="1"/>
    </xf>
    <xf numFmtId="0" fontId="39" fillId="9" borderId="0" xfId="0" applyNumberFormat="1" applyFont="1" applyFill="1" applyAlignment="1"/>
    <xf numFmtId="171" fontId="38" fillId="0" borderId="50" xfId="0" applyNumberFormat="1" applyFont="1" applyBorder="1" applyAlignment="1">
      <alignment horizontal="center" vertical="center" wrapText="1"/>
    </xf>
    <xf numFmtId="49" fontId="13" fillId="14" borderId="20" xfId="0" applyFont="1" applyFill="1" applyBorder="1" applyAlignment="1" applyProtection="1">
      <alignment horizontal="left" vertical="center" wrapText="1"/>
      <protection locked="0"/>
    </xf>
    <xf numFmtId="0" fontId="8" fillId="11" borderId="6" xfId="0" applyNumberFormat="1" applyFont="1" applyFill="1" applyBorder="1" applyAlignment="1">
      <alignment horizontal="left" vertical="top" wrapText="1"/>
    </xf>
    <xf numFmtId="49" fontId="40" fillId="0" borderId="0" xfId="0" applyFont="1" applyAlignment="1">
      <alignment horizontal="center" vertical="center"/>
    </xf>
    <xf numFmtId="49" fontId="57" fillId="0" borderId="0" xfId="0" applyFont="1">
      <alignment vertical="top"/>
    </xf>
    <xf numFmtId="0" fontId="35" fillId="0" borderId="0" xfId="0" applyNumberFormat="1" applyFont="1" applyAlignment="1">
      <alignment vertical="center"/>
    </xf>
    <xf numFmtId="0" fontId="8" fillId="0" borderId="29" xfId="0" applyNumberFormat="1" applyFont="1" applyBorder="1" applyAlignment="1">
      <alignment horizontal="center" vertical="center" wrapText="1"/>
    </xf>
    <xf numFmtId="0" fontId="8" fillId="0" borderId="14" xfId="0" applyNumberFormat="1" applyFont="1" applyBorder="1" applyAlignment="1">
      <alignment horizontal="center" vertical="center" wrapText="1"/>
    </xf>
    <xf numFmtId="49" fontId="8" fillId="0" borderId="28" xfId="0" applyFont="1" applyBorder="1" applyAlignment="1">
      <alignment horizontal="left" vertical="center" wrapText="1"/>
    </xf>
    <xf numFmtId="49" fontId="8" fillId="0" borderId="28" xfId="0" applyFont="1" applyBorder="1" applyAlignment="1">
      <alignment horizontal="center" vertical="center" wrapText="1"/>
    </xf>
    <xf numFmtId="0" fontId="8" fillId="0" borderId="28" xfId="0" applyNumberFormat="1" applyFont="1" applyBorder="1" applyAlignment="1">
      <alignment horizontal="left" vertical="center" wrapText="1"/>
    </xf>
    <xf numFmtId="49" fontId="8" fillId="0" borderId="28" xfId="0" applyFont="1" applyBorder="1" applyAlignment="1">
      <alignment vertical="center" wrapText="1"/>
    </xf>
    <xf numFmtId="49" fontId="30" fillId="0" borderId="28" xfId="0" applyFont="1" applyBorder="1" applyAlignment="1">
      <alignment vertical="center" wrapText="1"/>
    </xf>
    <xf numFmtId="0" fontId="33" fillId="0" borderId="15" xfId="0" applyNumberFormat="1" applyFont="1" applyBorder="1" applyAlignment="1">
      <alignment horizontal="left" vertical="center"/>
    </xf>
    <xf numFmtId="0" fontId="33" fillId="0" borderId="28" xfId="0" applyNumberFormat="1" applyFont="1" applyBorder="1" applyAlignment="1">
      <alignment horizontal="left" vertical="center"/>
    </xf>
    <xf numFmtId="0" fontId="33" fillId="13" borderId="29" xfId="0" applyNumberFormat="1" applyFont="1" applyFill="1" applyBorder="1" applyAlignment="1">
      <alignment horizontal="left" vertical="center"/>
    </xf>
    <xf numFmtId="49" fontId="57" fillId="13" borderId="6" xfId="0" applyFont="1" applyFill="1" applyBorder="1">
      <alignment vertical="top"/>
    </xf>
    <xf numFmtId="49" fontId="57" fillId="13" borderId="7" xfId="0" applyFont="1" applyFill="1" applyBorder="1">
      <alignment vertical="top"/>
    </xf>
    <xf numFmtId="49" fontId="8" fillId="15" borderId="9" xfId="0" applyFont="1" applyFill="1" applyBorder="1" applyAlignment="1">
      <alignment vertical="center" wrapText="1"/>
    </xf>
    <xf numFmtId="49" fontId="39" fillId="0" borderId="0" xfId="0" applyFont="1" applyAlignment="1">
      <alignment horizontal="center" vertical="center"/>
    </xf>
    <xf numFmtId="0" fontId="104" fillId="0" borderId="0" xfId="0" applyNumberFormat="1" applyFont="1" applyAlignment="1">
      <alignment vertical="center" wrapText="1"/>
    </xf>
    <xf numFmtId="0" fontId="105" fillId="0" borderId="0" xfId="0" applyNumberFormat="1" applyFont="1" applyAlignment="1">
      <alignment vertical="center" wrapText="1"/>
    </xf>
    <xf numFmtId="0" fontId="8" fillId="0" borderId="9" xfId="0" applyNumberFormat="1" applyFont="1" applyBorder="1" applyAlignment="1">
      <alignment horizontal="left" vertical="center" wrapText="1"/>
    </xf>
    <xf numFmtId="49" fontId="8" fillId="0" borderId="11" xfId="0" applyFont="1" applyBorder="1" applyAlignment="1">
      <alignment vertical="center" wrapText="1"/>
    </xf>
    <xf numFmtId="49" fontId="30" fillId="0" borderId="11" xfId="0" applyFont="1" applyBorder="1" applyAlignment="1">
      <alignment vertical="center" wrapText="1"/>
    </xf>
    <xf numFmtId="0" fontId="8" fillId="0" borderId="11" xfId="0" applyNumberFormat="1" applyFont="1" applyBorder="1" applyAlignment="1">
      <alignment horizontal="left" vertical="center" wrapText="1"/>
    </xf>
    <xf numFmtId="49" fontId="30" fillId="0" borderId="0" xfId="0" applyFont="1" applyAlignment="1">
      <alignment vertical="center" wrapText="1"/>
    </xf>
    <xf numFmtId="0" fontId="33" fillId="0" borderId="0" xfId="0" applyNumberFormat="1" applyFont="1" applyAlignment="1">
      <alignment vertical="center"/>
    </xf>
    <xf numFmtId="49" fontId="57" fillId="0" borderId="19" xfId="0" applyFont="1" applyBorder="1">
      <alignment vertical="top"/>
    </xf>
    <xf numFmtId="49" fontId="8" fillId="0" borderId="29" xfId="0" applyFont="1" applyBorder="1" applyAlignment="1">
      <alignment vertical="center" wrapText="1"/>
    </xf>
    <xf numFmtId="49" fontId="8" fillId="0" borderId="14" xfId="0" applyFont="1" applyBorder="1" applyAlignment="1">
      <alignment vertical="center" wrapText="1"/>
    </xf>
    <xf numFmtId="0" fontId="33" fillId="0" borderId="14" xfId="0" applyNumberFormat="1" applyFont="1" applyBorder="1" applyAlignment="1">
      <alignment horizontal="left" vertical="center"/>
    </xf>
    <xf numFmtId="49" fontId="57" fillId="0" borderId="20" xfId="0" applyFont="1" applyBorder="1">
      <alignment vertical="top"/>
    </xf>
    <xf numFmtId="49" fontId="30" fillId="0" borderId="28" xfId="0" applyFont="1" applyBorder="1" applyAlignment="1">
      <alignment horizontal="center" vertical="center" wrapText="1"/>
    </xf>
    <xf numFmtId="0" fontId="33" fillId="13" borderId="29" xfId="0" applyNumberFormat="1" applyFont="1" applyFill="1" applyBorder="1" applyAlignment="1">
      <alignment vertical="center"/>
    </xf>
    <xf numFmtId="0" fontId="30" fillId="9" borderId="4" xfId="0" applyNumberFormat="1" applyFont="1" applyFill="1" applyBorder="1" applyAlignment="1">
      <alignment horizontal="center" vertical="center" wrapText="1"/>
    </xf>
    <xf numFmtId="3" fontId="8" fillId="14" borderId="4" xfId="0" applyNumberFormat="1" applyFont="1" applyFill="1" applyBorder="1" applyAlignment="1" applyProtection="1">
      <alignment horizontal="right" vertical="center" wrapText="1"/>
      <protection locked="0"/>
    </xf>
    <xf numFmtId="0" fontId="8" fillId="0" borderId="9" xfId="0" applyNumberFormat="1" applyFont="1" applyBorder="1" applyAlignment="1">
      <alignment horizontal="left" vertical="center" wrapText="1" indent="1"/>
    </xf>
    <xf numFmtId="49" fontId="8" fillId="0" borderId="51" xfId="0" applyFont="1" applyBorder="1" applyAlignment="1">
      <alignment horizontal="center" vertical="center" wrapText="1"/>
    </xf>
    <xf numFmtId="49" fontId="8" fillId="0" borderId="21" xfId="0" applyFont="1" applyBorder="1" applyAlignment="1">
      <alignment horizontal="center" vertical="center" wrapText="1"/>
    </xf>
    <xf numFmtId="0" fontId="40" fillId="0" borderId="9" xfId="0" applyNumberFormat="1" applyFont="1" applyBorder="1" applyAlignment="1">
      <alignment horizontal="center" vertical="center" wrapText="1"/>
    </xf>
    <xf numFmtId="0" fontId="40" fillId="0" borderId="6" xfId="0" applyNumberFormat="1" applyFont="1" applyBorder="1" applyAlignment="1">
      <alignment vertical="center" wrapText="1"/>
    </xf>
    <xf numFmtId="0" fontId="40" fillId="0" borderId="6" xfId="0" applyNumberFormat="1" applyFont="1" applyBorder="1" applyAlignment="1">
      <alignment horizontal="left" vertical="top" wrapText="1"/>
    </xf>
    <xf numFmtId="49" fontId="8" fillId="0" borderId="52" xfId="0" applyFont="1" applyBorder="1" applyAlignment="1">
      <alignment horizontal="center" vertical="center" wrapText="1"/>
    </xf>
    <xf numFmtId="49" fontId="33" fillId="13" borderId="11" xfId="0" applyFont="1" applyFill="1" applyBorder="1" applyAlignment="1">
      <alignment horizontal="left" vertical="center" indent="2"/>
    </xf>
    <xf numFmtId="49" fontId="8" fillId="0" borderId="53" xfId="0" applyFont="1" applyBorder="1" applyAlignment="1">
      <alignment horizontal="center" vertical="center" wrapText="1"/>
    </xf>
    <xf numFmtId="4" fontId="8" fillId="14" borderId="9" xfId="0" applyNumberFormat="1" applyFont="1" applyFill="1" applyBorder="1" applyAlignment="1" applyProtection="1">
      <alignment horizontal="right" vertical="center" wrapText="1"/>
      <protection locked="0"/>
    </xf>
    <xf numFmtId="49" fontId="33" fillId="0" borderId="11" xfId="0" applyFont="1" applyBorder="1" applyAlignment="1">
      <alignment horizontal="left" vertical="center"/>
    </xf>
    <xf numFmtId="49" fontId="33" fillId="0" borderId="11" xfId="0" applyFont="1" applyBorder="1" applyAlignment="1">
      <alignment horizontal="left" vertical="center" indent="2"/>
    </xf>
    <xf numFmtId="49" fontId="37" fillId="0" borderId="11" xfId="0" applyFont="1" applyBorder="1" applyAlignment="1">
      <alignment horizontal="center" vertical="top"/>
    </xf>
    <xf numFmtId="0" fontId="8" fillId="0" borderId="11" xfId="0" applyNumberFormat="1" applyFont="1" applyBorder="1" applyAlignment="1">
      <alignment horizontal="left" vertical="top" wrapText="1"/>
    </xf>
    <xf numFmtId="0" fontId="8" fillId="0" borderId="0" xfId="33" applyAlignment="1">
      <alignment vertical="top" wrapText="1"/>
    </xf>
    <xf numFmtId="0" fontId="0" fillId="9" borderId="15" xfId="0" applyNumberFormat="1" applyFill="1" applyBorder="1" applyAlignment="1">
      <alignment vertical="center" wrapText="1"/>
    </xf>
    <xf numFmtId="0" fontId="0" fillId="22" borderId="3" xfId="0" applyNumberFormat="1" applyFill="1" applyBorder="1" applyAlignment="1">
      <alignment horizontal="center"/>
    </xf>
    <xf numFmtId="0" fontId="0" fillId="0" borderId="3" xfId="0" applyNumberFormat="1" applyBorder="1" applyAlignment="1">
      <alignment horizontal="center"/>
    </xf>
    <xf numFmtId="0" fontId="106" fillId="0" borderId="0" xfId="0" applyNumberFormat="1" applyFont="1" applyAlignment="1">
      <alignment wrapText="1"/>
    </xf>
    <xf numFmtId="49" fontId="56" fillId="0" borderId="0" xfId="0" applyFont="1" applyAlignment="1">
      <alignment wrapText="1"/>
    </xf>
    <xf numFmtId="49" fontId="56" fillId="0" borderId="0" xfId="0" applyFont="1" applyAlignment="1">
      <alignment vertical="center" wrapText="1"/>
    </xf>
    <xf numFmtId="49" fontId="107" fillId="0" borderId="0" xfId="0" applyFont="1" applyAlignment="1">
      <alignment wrapText="1"/>
    </xf>
    <xf numFmtId="0" fontId="92" fillId="0" borderId="0" xfId="0" applyNumberFormat="1" applyFont="1" applyAlignment="1">
      <alignment horizontal="left" vertical="center" wrapText="1"/>
    </xf>
    <xf numFmtId="49" fontId="108" fillId="0" borderId="0" xfId="0" applyFont="1" applyAlignment="1">
      <alignment wrapText="1"/>
    </xf>
    <xf numFmtId="0" fontId="7" fillId="0" borderId="0" xfId="0" applyNumberFormat="1" applyFont="1" applyAlignment="1">
      <alignment horizontal="left" vertical="top" wrapText="1"/>
    </xf>
    <xf numFmtId="49" fontId="8" fillId="0" borderId="0" xfId="0" applyFont="1" applyAlignment="1">
      <alignment vertical="top" wrapText="1"/>
    </xf>
    <xf numFmtId="0" fontId="56" fillId="0" borderId="0" xfId="0" applyNumberFormat="1" applyFont="1" applyAlignment="1">
      <alignment wrapText="1"/>
    </xf>
    <xf numFmtId="0" fontId="109" fillId="0" borderId="0" xfId="0" applyNumberFormat="1" applyFont="1" applyAlignment="1">
      <alignment horizontal="left" vertical="center" wrapText="1"/>
    </xf>
    <xf numFmtId="0" fontId="110" fillId="0" borderId="0" xfId="0" applyNumberFormat="1" applyFont="1" applyAlignment="1">
      <alignment vertical="center" wrapText="1"/>
    </xf>
    <xf numFmtId="0" fontId="56" fillId="0" borderId="30" xfId="0" applyNumberFormat="1" applyFont="1" applyBorder="1" applyAlignment="1">
      <alignment wrapText="1"/>
    </xf>
    <xf numFmtId="0" fontId="56" fillId="0" borderId="0" xfId="0" applyNumberFormat="1" applyFont="1" applyAlignment="1"/>
    <xf numFmtId="0" fontId="109" fillId="0" borderId="0" xfId="0" applyNumberFormat="1" applyFont="1" applyAlignment="1"/>
    <xf numFmtId="0" fontId="111" fillId="0" borderId="0" xfId="0" applyNumberFormat="1" applyFont="1" applyAlignment="1">
      <alignment wrapText="1"/>
    </xf>
    <xf numFmtId="0" fontId="0" fillId="6" borderId="54" xfId="0" applyNumberFormat="1" applyFill="1" applyBorder="1" applyAlignment="1">
      <alignment horizontal="center" vertical="center" wrapText="1"/>
    </xf>
    <xf numFmtId="0" fontId="0" fillId="27" borderId="54" xfId="0" applyNumberFormat="1" applyFill="1" applyBorder="1" applyAlignment="1">
      <alignment horizontal="center" vertical="center" wrapText="1"/>
    </xf>
    <xf numFmtId="0" fontId="0" fillId="11" borderId="54" xfId="0" applyNumberFormat="1" applyFill="1" applyBorder="1" applyAlignment="1">
      <alignment horizontal="center" vertical="center" wrapText="1"/>
    </xf>
    <xf numFmtId="0" fontId="0" fillId="14" borderId="54" xfId="0" applyNumberFormat="1" applyFill="1" applyBorder="1" applyAlignment="1">
      <alignment horizontal="center" vertical="center" wrapText="1"/>
    </xf>
    <xf numFmtId="0" fontId="109" fillId="0" borderId="30" xfId="0" applyNumberFormat="1" applyFont="1" applyBorder="1" applyAlignment="1">
      <alignment horizontal="left" vertical="center" wrapText="1"/>
    </xf>
    <xf numFmtId="0" fontId="109" fillId="0" borderId="55" xfId="0" applyNumberFormat="1" applyFont="1" applyBorder="1" applyAlignment="1">
      <alignment horizontal="left" vertical="center" wrapText="1"/>
    </xf>
    <xf numFmtId="0" fontId="111" fillId="0" borderId="0" xfId="0" applyNumberFormat="1" applyFont="1" applyAlignment="1"/>
    <xf numFmtId="0" fontId="111" fillId="0" borderId="30" xfId="0" applyNumberFormat="1" applyFont="1" applyBorder="1" applyAlignment="1">
      <alignment wrapText="1"/>
    </xf>
    <xf numFmtId="0" fontId="56" fillId="0" borderId="56" xfId="0" applyNumberFormat="1" applyFont="1" applyBorder="1" applyAlignment="1">
      <alignment wrapText="1"/>
    </xf>
    <xf numFmtId="0" fontId="56" fillId="0" borderId="31" xfId="0" applyNumberFormat="1" applyFont="1" applyBorder="1" applyAlignment="1">
      <alignment wrapText="1"/>
    </xf>
    <xf numFmtId="0" fontId="56" fillId="0" borderId="31" xfId="0" applyNumberFormat="1" applyFont="1" applyBorder="1" applyAlignment="1">
      <alignment vertical="center" wrapText="1"/>
    </xf>
    <xf numFmtId="0" fontId="107" fillId="0" borderId="0" xfId="0" applyNumberFormat="1" applyFont="1" applyAlignment="1"/>
    <xf numFmtId="0" fontId="29" fillId="0" borderId="16" xfId="0" applyNumberFormat="1" applyFont="1" applyBorder="1" applyAlignment="1">
      <alignment horizontal="center" vertical="center" wrapText="1"/>
    </xf>
    <xf numFmtId="49" fontId="8" fillId="0" borderId="5" xfId="0" applyFont="1" applyBorder="1" applyAlignment="1">
      <alignment horizontal="center" vertical="center" wrapText="1"/>
    </xf>
    <xf numFmtId="0" fontId="29" fillId="0" borderId="4" xfId="0" applyNumberFormat="1" applyFont="1" applyBorder="1" applyAlignment="1">
      <alignment horizontal="center" vertical="center" wrapText="1"/>
    </xf>
    <xf numFmtId="49" fontId="112" fillId="0" borderId="0" xfId="0" applyFont="1" applyAlignment="1">
      <alignment horizontal="center" vertical="center" wrapText="1"/>
    </xf>
    <xf numFmtId="49" fontId="8" fillId="22" borderId="0" xfId="0" applyFont="1" applyFill="1" applyAlignment="1">
      <alignment horizontal="center" vertical="center"/>
    </xf>
    <xf numFmtId="170" fontId="0" fillId="14" borderId="4" xfId="0" applyNumberFormat="1" applyFill="1" applyBorder="1" applyAlignment="1" applyProtection="1">
      <alignment horizontal="left" vertical="center" wrapText="1" indent="1"/>
      <protection locked="0"/>
    </xf>
    <xf numFmtId="170" fontId="0" fillId="0" borderId="4" xfId="0" applyNumberFormat="1" applyBorder="1" applyAlignment="1">
      <alignment horizontal="left" vertical="center" wrapText="1" indent="1"/>
    </xf>
    <xf numFmtId="170" fontId="0" fillId="14" borderId="4" xfId="0" applyNumberFormat="1" applyFill="1" applyBorder="1" applyAlignment="1" applyProtection="1">
      <alignment horizontal="center" vertical="center" wrapText="1"/>
      <protection locked="0"/>
    </xf>
    <xf numFmtId="170" fontId="40" fillId="0" borderId="0" xfId="0" applyNumberFormat="1" applyFont="1" applyAlignment="1">
      <alignment horizontal="center" vertical="center" wrapText="1"/>
    </xf>
    <xf numFmtId="170" fontId="40" fillId="0" borderId="4" xfId="0" applyNumberFormat="1" applyFont="1" applyBorder="1" applyAlignment="1">
      <alignment horizontal="center" vertical="center" wrapText="1"/>
    </xf>
    <xf numFmtId="170" fontId="0" fillId="14" borderId="4" xfId="0" applyNumberFormat="1" applyFill="1" applyBorder="1" applyAlignment="1" applyProtection="1">
      <alignment horizontal="left" vertical="center" wrapText="1"/>
      <protection locked="0"/>
    </xf>
    <xf numFmtId="170" fontId="0" fillId="6" borderId="4" xfId="0" applyNumberFormat="1" applyFill="1" applyBorder="1" applyAlignment="1" applyProtection="1">
      <alignment horizontal="left" vertical="center" wrapText="1" indent="1"/>
      <protection locked="0"/>
    </xf>
    <xf numFmtId="170" fontId="0" fillId="14" borderId="5" xfId="0" applyNumberFormat="1" applyFill="1" applyBorder="1" applyAlignment="1" applyProtection="1">
      <alignment horizontal="left" vertical="center" wrapText="1"/>
      <protection locked="0"/>
    </xf>
    <xf numFmtId="0" fontId="8" fillId="0" borderId="0" xfId="0" applyNumberFormat="1" applyFont="1" applyAlignment="1">
      <alignment horizontal="left" vertical="top" indent="1"/>
    </xf>
    <xf numFmtId="0" fontId="8" fillId="11" borderId="19" xfId="0" applyNumberFormat="1" applyFont="1" applyFill="1" applyBorder="1" applyAlignment="1">
      <alignment horizontal="center" vertical="top"/>
    </xf>
    <xf numFmtId="0" fontId="0" fillId="0" borderId="26" xfId="0" applyNumberFormat="1" applyBorder="1" applyAlignment="1">
      <alignment horizontal="center" vertical="center"/>
    </xf>
    <xf numFmtId="0" fontId="0" fillId="0" borderId="25" xfId="0" applyNumberFormat="1" applyBorder="1" applyAlignment="1">
      <alignment horizontal="center" vertical="center"/>
    </xf>
    <xf numFmtId="0" fontId="8" fillId="15" borderId="28" xfId="0" applyNumberFormat="1" applyFont="1" applyFill="1" applyBorder="1" applyAlignment="1">
      <alignment horizontal="center" vertical="top" wrapText="1"/>
    </xf>
    <xf numFmtId="49" fontId="8" fillId="0" borderId="28" xfId="0" applyFont="1" applyBorder="1" applyAlignment="1">
      <alignment horizontal="center" vertical="top" wrapText="1"/>
    </xf>
    <xf numFmtId="0" fontId="8" fillId="11" borderId="19" xfId="0" applyNumberFormat="1" applyFont="1" applyFill="1" applyBorder="1" applyAlignment="1">
      <alignment horizontal="left" vertical="top"/>
    </xf>
    <xf numFmtId="0" fontId="8" fillId="0" borderId="4" xfId="0" applyNumberFormat="1" applyFont="1" applyBorder="1" applyAlignment="1">
      <alignment horizontal="left" vertical="top"/>
    </xf>
    <xf numFmtId="49" fontId="8" fillId="15" borderId="28" xfId="0" applyFont="1" applyFill="1" applyBorder="1" applyAlignment="1">
      <alignment horizontal="center" vertical="center" wrapText="1"/>
    </xf>
    <xf numFmtId="0" fontId="0" fillId="11" borderId="28" xfId="0" applyNumberFormat="1" applyFill="1" applyBorder="1" applyAlignment="1">
      <alignment horizontal="left" vertical="top" wrapText="1" indent="1"/>
    </xf>
    <xf numFmtId="49" fontId="8" fillId="15" borderId="28" xfId="0" applyFont="1" applyFill="1" applyBorder="1" applyAlignment="1">
      <alignment horizontal="center" vertical="top" wrapText="1"/>
    </xf>
    <xf numFmtId="49" fontId="0" fillId="14" borderId="28" xfId="0" applyFill="1" applyBorder="1" applyAlignment="1" applyProtection="1">
      <alignment horizontal="center" vertical="top" wrapText="1"/>
      <protection locked="0"/>
    </xf>
    <xf numFmtId="49" fontId="0" fillId="6" borderId="28" xfId="0" applyFill="1" applyBorder="1" applyAlignment="1" applyProtection="1">
      <alignment horizontal="center" vertical="top" wrapText="1"/>
      <protection locked="0"/>
    </xf>
    <xf numFmtId="49" fontId="8" fillId="15" borderId="28" xfId="0" applyFont="1" applyFill="1" applyBorder="1" applyAlignment="1">
      <alignment horizontal="left" vertical="top" wrapText="1"/>
    </xf>
    <xf numFmtId="49" fontId="8" fillId="14" borderId="28" xfId="0" applyFont="1" applyFill="1" applyBorder="1" applyAlignment="1" applyProtection="1">
      <alignment horizontal="left" vertical="top" wrapText="1"/>
      <protection locked="0"/>
    </xf>
    <xf numFmtId="49" fontId="0" fillId="11" borderId="28" xfId="0" applyFill="1" applyBorder="1" applyAlignment="1">
      <alignment horizontal="center" vertical="top" wrapText="1"/>
    </xf>
    <xf numFmtId="0" fontId="8" fillId="11" borderId="28" xfId="0" applyNumberFormat="1" applyFont="1" applyFill="1" applyBorder="1" applyAlignment="1">
      <alignment horizontal="center" vertical="top" wrapText="1"/>
    </xf>
    <xf numFmtId="0" fontId="8" fillId="6" borderId="28" xfId="0" applyNumberFormat="1" applyFont="1" applyFill="1" applyBorder="1" applyAlignment="1" applyProtection="1">
      <alignment horizontal="left" vertical="top" wrapText="1"/>
      <protection locked="0"/>
    </xf>
    <xf numFmtId="49" fontId="0" fillId="0" borderId="28" xfId="0" applyBorder="1">
      <alignment vertical="top"/>
    </xf>
    <xf numFmtId="49" fontId="0" fillId="0" borderId="28" xfId="0" applyBorder="1" applyAlignment="1">
      <alignment horizontal="left" vertical="top"/>
    </xf>
    <xf numFmtId="49" fontId="0" fillId="15" borderId="28" xfId="0" applyFill="1" applyBorder="1" applyAlignment="1">
      <alignment horizontal="left" vertical="top"/>
    </xf>
    <xf numFmtId="0" fontId="33" fillId="6" borderId="28" xfId="0" applyNumberFormat="1" applyFont="1" applyFill="1" applyBorder="1" applyAlignment="1" applyProtection="1">
      <alignment horizontal="left" vertical="center"/>
      <protection locked="0"/>
    </xf>
    <xf numFmtId="0" fontId="33" fillId="14" borderId="28" xfId="0" applyNumberFormat="1" applyFont="1" applyFill="1" applyBorder="1" applyAlignment="1" applyProtection="1">
      <alignment horizontal="left" vertical="center"/>
      <protection locked="0"/>
    </xf>
    <xf numFmtId="49" fontId="0" fillId="14" borderId="9" xfId="0" applyFill="1" applyBorder="1" applyProtection="1">
      <alignment vertical="top"/>
      <protection locked="0"/>
    </xf>
    <xf numFmtId="49" fontId="0" fillId="14" borderId="28" xfId="0" applyFill="1" applyBorder="1" applyProtection="1">
      <alignment vertical="top"/>
      <protection locked="0"/>
    </xf>
    <xf numFmtId="49" fontId="0" fillId="14" borderId="15" xfId="0" applyFill="1" applyBorder="1" applyProtection="1">
      <alignment vertical="top"/>
      <protection locked="0"/>
    </xf>
    <xf numFmtId="14" fontId="8" fillId="15" borderId="28" xfId="0" applyNumberFormat="1" applyFont="1" applyFill="1" applyBorder="1" applyAlignment="1">
      <alignment horizontal="left" vertical="center" wrapText="1" indent="1"/>
    </xf>
    <xf numFmtId="49" fontId="8" fillId="15" borderId="0" xfId="0" applyFont="1" applyFill="1" applyAlignment="1">
      <alignment horizontal="center" vertical="center" wrapText="1"/>
    </xf>
    <xf numFmtId="49" fontId="0" fillId="6" borderId="28" xfId="0" applyFill="1" applyBorder="1" applyProtection="1">
      <alignment vertical="top"/>
      <protection locked="0"/>
    </xf>
    <xf numFmtId="49" fontId="0" fillId="15" borderId="28" xfId="0" applyFill="1" applyBorder="1" applyAlignment="1" applyProtection="1">
      <alignment horizontal="left" vertical="center" wrapText="1"/>
      <protection locked="0"/>
    </xf>
    <xf numFmtId="49" fontId="0" fillId="6" borderId="28" xfId="0" applyFill="1" applyBorder="1" applyAlignment="1" applyProtection="1">
      <alignment horizontal="left" vertical="top"/>
      <protection locked="0"/>
    </xf>
    <xf numFmtId="0" fontId="0" fillId="9" borderId="4" xfId="0" applyNumberFormat="1" applyFill="1" applyBorder="1" applyAlignment="1">
      <alignment vertical="top" wrapText="1"/>
    </xf>
    <xf numFmtId="0" fontId="39" fillId="0" borderId="4" xfId="0" applyNumberFormat="1" applyFont="1" applyBorder="1" applyAlignment="1">
      <alignment vertical="top" wrapText="1"/>
    </xf>
    <xf numFmtId="49" fontId="0" fillId="11" borderId="28" xfId="0" applyFill="1" applyBorder="1">
      <alignment vertical="top"/>
    </xf>
    <xf numFmtId="49" fontId="0" fillId="0" borderId="14" xfId="0" applyBorder="1">
      <alignment vertical="top"/>
    </xf>
    <xf numFmtId="170" fontId="0" fillId="14" borderId="5" xfId="0" applyNumberFormat="1" applyFill="1" applyBorder="1" applyAlignment="1" applyProtection="1">
      <alignment horizontal="left" vertical="center" wrapText="1" indent="1"/>
      <protection locked="0"/>
    </xf>
    <xf numFmtId="0" fontId="0" fillId="14" borderId="5" xfId="0" applyNumberFormat="1" applyFill="1" applyBorder="1" applyAlignment="1" applyProtection="1">
      <alignment horizontal="left" vertical="center" wrapText="1" indent="1"/>
      <protection locked="0"/>
    </xf>
    <xf numFmtId="0" fontId="8" fillId="9" borderId="4" xfId="33" applyFill="1" applyBorder="1" applyAlignment="1">
      <alignment horizontal="right" vertical="center" wrapText="1" indent="1"/>
    </xf>
    <xf numFmtId="49" fontId="8" fillId="6" borderId="4" xfId="33" applyNumberFormat="1" applyFill="1" applyBorder="1" applyAlignment="1" applyProtection="1">
      <alignment horizontal="left" vertical="center" wrapText="1" indent="1"/>
      <protection locked="0"/>
    </xf>
    <xf numFmtId="0" fontId="81" fillId="0" borderId="0" xfId="0" applyNumberFormat="1" applyFont="1" applyAlignment="1">
      <alignment horizontal="left" vertical="center" wrapText="1"/>
    </xf>
    <xf numFmtId="49" fontId="113" fillId="0" borderId="0" xfId="0" applyFont="1" applyAlignment="1">
      <alignment vertical="center" wrapText="1"/>
    </xf>
    <xf numFmtId="49" fontId="114" fillId="0" borderId="0" xfId="0" applyFont="1" applyAlignment="1">
      <alignment vertical="center" wrapText="1"/>
    </xf>
    <xf numFmtId="0" fontId="26" fillId="0" borderId="0" xfId="0" applyNumberFormat="1" applyFont="1" applyAlignment="1">
      <alignment vertical="center" wrapText="1"/>
    </xf>
    <xf numFmtId="49" fontId="115" fillId="0" borderId="4" xfId="0" applyFont="1" applyBorder="1" applyAlignment="1">
      <alignment horizontal="left" vertical="center" wrapText="1"/>
    </xf>
    <xf numFmtId="49" fontId="113" fillId="14" borderId="4" xfId="0" quotePrefix="1" applyFont="1" applyFill="1" applyBorder="1" applyAlignment="1" applyProtection="1">
      <alignment horizontal="left" vertical="center" wrapText="1"/>
      <protection locked="0"/>
    </xf>
    <xf numFmtId="49" fontId="113" fillId="6" borderId="4" xfId="0" applyFont="1" applyFill="1" applyBorder="1" applyAlignment="1" applyProtection="1">
      <alignment horizontal="left" vertical="center" wrapText="1"/>
      <protection locked="0"/>
    </xf>
    <xf numFmtId="0" fontId="116" fillId="14" borderId="6" xfId="0" applyNumberFormat="1" applyFont="1" applyFill="1" applyBorder="1" applyAlignment="1" applyProtection="1">
      <alignment horizontal="left" vertical="center" wrapText="1" indent="2"/>
      <protection locked="0"/>
    </xf>
    <xf numFmtId="49" fontId="117" fillId="13" borderId="7" xfId="0" applyFont="1" applyFill="1" applyBorder="1" applyAlignment="1">
      <alignment vertical="top" wrapText="1"/>
    </xf>
    <xf numFmtId="49" fontId="117" fillId="13" borderId="5" xfId="0" applyFont="1" applyFill="1" applyBorder="1" applyAlignment="1">
      <alignment vertical="top" wrapText="1"/>
    </xf>
    <xf numFmtId="0" fontId="117" fillId="15" borderId="4" xfId="0" applyNumberFormat="1" applyFont="1" applyFill="1" applyBorder="1" applyAlignment="1">
      <alignment horizontal="left" vertical="center" wrapText="1" indent="1"/>
    </xf>
    <xf numFmtId="49" fontId="117" fillId="13" borderId="44" xfId="0" applyFont="1" applyFill="1" applyBorder="1" applyAlignment="1">
      <alignment vertical="top" wrapText="1"/>
    </xf>
    <xf numFmtId="49" fontId="113" fillId="15" borderId="9" xfId="0" applyFont="1" applyFill="1" applyBorder="1" applyAlignment="1">
      <alignment vertical="center" wrapText="1"/>
    </xf>
    <xf numFmtId="49" fontId="113" fillId="15" borderId="28" xfId="0" applyFont="1" applyFill="1" applyBorder="1" applyAlignment="1">
      <alignment vertical="center" wrapText="1"/>
    </xf>
    <xf numFmtId="49" fontId="113" fillId="15" borderId="15" xfId="0" applyFont="1" applyFill="1" applyBorder="1" applyAlignment="1">
      <alignment vertical="center" wrapText="1"/>
    </xf>
    <xf numFmtId="0" fontId="113" fillId="15" borderId="4" xfId="0" applyNumberFormat="1" applyFont="1" applyFill="1" applyBorder="1" applyAlignment="1">
      <alignment horizontal="left" vertical="center" wrapText="1" indent="1"/>
    </xf>
    <xf numFmtId="0" fontId="113" fillId="14" borderId="4" xfId="0" applyNumberFormat="1" applyFont="1" applyFill="1" applyBorder="1" applyAlignment="1" applyProtection="1">
      <alignment horizontal="left" vertical="center" wrapText="1" indent="1"/>
      <protection locked="0"/>
    </xf>
    <xf numFmtId="0" fontId="116" fillId="14" borderId="4" xfId="0" applyNumberFormat="1" applyFont="1" applyFill="1" applyBorder="1" applyAlignment="1" applyProtection="1">
      <alignment horizontal="left" vertical="center" wrapText="1" indent="2"/>
      <protection locked="0"/>
    </xf>
    <xf numFmtId="0" fontId="118" fillId="0" borderId="4" xfId="0" applyNumberFormat="1" applyFont="1" applyBorder="1" applyAlignment="1">
      <alignment horizontal="left" vertical="center" wrapText="1" indent="2"/>
    </xf>
    <xf numFmtId="4" fontId="113" fillId="6" borderId="4" xfId="0" applyNumberFormat="1" applyFont="1" applyFill="1" applyBorder="1" applyAlignment="1" applyProtection="1">
      <alignment horizontal="right" vertical="center" wrapText="1"/>
      <protection locked="0"/>
    </xf>
    <xf numFmtId="4" fontId="113" fillId="0" borderId="4" xfId="0" applyNumberFormat="1" applyFont="1" applyBorder="1" applyAlignment="1">
      <alignment horizontal="right" vertical="center" wrapText="1"/>
    </xf>
    <xf numFmtId="168" fontId="113" fillId="6" borderId="4" xfId="0" applyNumberFormat="1" applyFont="1" applyFill="1" applyBorder="1" applyAlignment="1" applyProtection="1">
      <alignment horizontal="right" vertical="center" wrapText="1"/>
      <protection locked="0"/>
    </xf>
    <xf numFmtId="4" fontId="115" fillId="0" borderId="4" xfId="0" applyNumberFormat="1" applyFont="1" applyBorder="1" applyAlignment="1">
      <alignment horizontal="center" vertical="center" wrapText="1"/>
    </xf>
    <xf numFmtId="4" fontId="114" fillId="0" borderId="4" xfId="0" applyNumberFormat="1" applyFont="1" applyBorder="1" applyAlignment="1">
      <alignment horizontal="right" vertical="center" wrapText="1"/>
    </xf>
    <xf numFmtId="168" fontId="114" fillId="0" borderId="4" xfId="0" applyNumberFormat="1" applyFont="1" applyBorder="1" applyAlignment="1">
      <alignment horizontal="right" vertical="center" wrapText="1"/>
    </xf>
    <xf numFmtId="4" fontId="113" fillId="0" borderId="9" xfId="0" applyNumberFormat="1" applyFont="1" applyBorder="1" applyAlignment="1">
      <alignment horizontal="right" vertical="center" wrapText="1"/>
    </xf>
    <xf numFmtId="4" fontId="113" fillId="0" borderId="15" xfId="0" applyNumberFormat="1" applyFont="1" applyBorder="1" applyAlignment="1">
      <alignment horizontal="right" vertical="center" wrapText="1"/>
    </xf>
    <xf numFmtId="168" fontId="113" fillId="0" borderId="4" xfId="0" applyNumberFormat="1" applyFont="1" applyBorder="1" applyAlignment="1">
      <alignment horizontal="right" vertical="center" wrapText="1"/>
    </xf>
    <xf numFmtId="168" fontId="113" fillId="6" borderId="6" xfId="0" applyNumberFormat="1" applyFont="1" applyFill="1" applyBorder="1" applyAlignment="1" applyProtection="1">
      <alignment horizontal="right" vertical="center" wrapText="1"/>
      <protection locked="0"/>
    </xf>
    <xf numFmtId="4" fontId="113" fillId="6" borderId="5" xfId="0" applyNumberFormat="1" applyFont="1" applyFill="1" applyBorder="1" applyAlignment="1" applyProtection="1">
      <alignment horizontal="right" vertical="center" wrapText="1"/>
      <protection locked="0"/>
    </xf>
    <xf numFmtId="4" fontId="115" fillId="0" borderId="6" xfId="0" applyNumberFormat="1" applyFont="1" applyBorder="1" applyAlignment="1">
      <alignment horizontal="center" vertical="center" wrapText="1"/>
    </xf>
    <xf numFmtId="4" fontId="113" fillId="0" borderId="5" xfId="0" applyNumberFormat="1" applyFont="1" applyBorder="1" applyAlignment="1">
      <alignment horizontal="right" vertical="center" wrapText="1"/>
    </xf>
    <xf numFmtId="4" fontId="113" fillId="13" borderId="7" xfId="0" applyNumberFormat="1" applyFont="1" applyFill="1" applyBorder="1" applyAlignment="1">
      <alignment horizontal="right" vertical="center" wrapText="1"/>
    </xf>
    <xf numFmtId="4" fontId="115" fillId="13" borderId="7" xfId="0" applyNumberFormat="1" applyFont="1" applyFill="1" applyBorder="1" applyAlignment="1">
      <alignment horizontal="center" vertical="center" wrapText="1"/>
    </xf>
    <xf numFmtId="4" fontId="113" fillId="13" borderId="5" xfId="0" applyNumberFormat="1" applyFont="1" applyFill="1" applyBorder="1" applyAlignment="1">
      <alignment horizontal="right" vertical="center" wrapText="1"/>
    </xf>
    <xf numFmtId="168" fontId="113" fillId="13" borderId="5" xfId="0" applyNumberFormat="1" applyFont="1" applyFill="1" applyBorder="1" applyAlignment="1">
      <alignment horizontal="right" vertical="center" wrapText="1"/>
    </xf>
    <xf numFmtId="168" fontId="113" fillId="13" borderId="7" xfId="0" applyNumberFormat="1" applyFont="1" applyFill="1" applyBorder="1" applyAlignment="1">
      <alignment horizontal="right" vertical="center" wrapText="1"/>
    </xf>
    <xf numFmtId="4" fontId="113" fillId="0" borderId="28" xfId="0" applyNumberFormat="1" applyFont="1" applyBorder="1" applyAlignment="1">
      <alignment horizontal="right" vertical="center" wrapText="1"/>
    </xf>
    <xf numFmtId="4" fontId="115" fillId="13" borderId="5" xfId="0" applyNumberFormat="1" applyFont="1" applyFill="1" applyBorder="1" applyAlignment="1">
      <alignment horizontal="center" vertical="center" wrapText="1"/>
    </xf>
    <xf numFmtId="4" fontId="115" fillId="0" borderId="4" xfId="0" applyNumberFormat="1" applyFont="1" applyBorder="1" applyAlignment="1">
      <alignment horizontal="right" vertical="center" wrapText="1"/>
    </xf>
    <xf numFmtId="168" fontId="115" fillId="0" borderId="4" xfId="0" applyNumberFormat="1" applyFont="1" applyBorder="1" applyAlignment="1">
      <alignment horizontal="right" vertical="center" wrapText="1"/>
    </xf>
    <xf numFmtId="0" fontId="116" fillId="14" borderId="4" xfId="0" applyNumberFormat="1" applyFont="1" applyFill="1" applyBorder="1" applyAlignment="1" applyProtection="1">
      <alignment horizontal="left" vertical="center" wrapText="1" indent="1"/>
      <protection locked="0"/>
    </xf>
    <xf numFmtId="0" fontId="116" fillId="0" borderId="4" xfId="0" applyNumberFormat="1" applyFont="1" applyBorder="1" applyAlignment="1">
      <alignment horizontal="left" vertical="center" wrapText="1" indent="1"/>
    </xf>
    <xf numFmtId="0" fontId="116" fillId="14" borderId="4" xfId="0" applyNumberFormat="1" applyFont="1" applyFill="1" applyBorder="1" applyAlignment="1" applyProtection="1">
      <alignment horizontal="left" vertical="center" wrapText="1"/>
      <protection locked="0"/>
    </xf>
    <xf numFmtId="0" fontId="116" fillId="0" borderId="4" xfId="0" applyNumberFormat="1" applyFont="1" applyBorder="1" applyAlignment="1">
      <alignment horizontal="left" vertical="center" wrapText="1" indent="2"/>
    </xf>
    <xf numFmtId="49" fontId="116" fillId="14" borderId="4" xfId="0" applyFont="1" applyFill="1" applyBorder="1" applyAlignment="1" applyProtection="1">
      <alignment horizontal="left" vertical="center" wrapText="1" indent="1"/>
      <protection locked="0"/>
    </xf>
    <xf numFmtId="4" fontId="116" fillId="14" borderId="4" xfId="0" applyNumberFormat="1" applyFont="1" applyFill="1" applyBorder="1" applyAlignment="1" applyProtection="1">
      <alignment horizontal="right" vertical="center" wrapText="1"/>
      <protection locked="0"/>
    </xf>
    <xf numFmtId="4" fontId="113" fillId="0" borderId="29" xfId="0" applyNumberFormat="1" applyFont="1" applyBorder="1" applyAlignment="1">
      <alignment horizontal="right" vertical="center" wrapText="1"/>
    </xf>
    <xf numFmtId="4" fontId="113" fillId="0" borderId="19" xfId="0" applyNumberFormat="1" applyFont="1" applyBorder="1" applyAlignment="1">
      <alignment horizontal="right" vertical="center" wrapText="1"/>
    </xf>
    <xf numFmtId="49" fontId="119" fillId="14" borderId="4" xfId="0" applyFont="1" applyFill="1" applyBorder="1" applyAlignment="1" applyProtection="1">
      <alignment horizontal="left" vertical="center" wrapText="1" indent="1"/>
      <protection locked="0"/>
    </xf>
    <xf numFmtId="49" fontId="8" fillId="9" borderId="6" xfId="0" applyFont="1" applyFill="1" applyBorder="1" applyAlignment="1">
      <alignment horizontal="left" vertical="center" wrapText="1"/>
    </xf>
    <xf numFmtId="49" fontId="13" fillId="9" borderId="4" xfId="0" applyFont="1" applyFill="1" applyBorder="1" applyAlignment="1">
      <alignment horizontal="left" vertical="center" wrapText="1"/>
    </xf>
    <xf numFmtId="170" fontId="0" fillId="9" borderId="4" xfId="0" applyNumberFormat="1" applyFill="1" applyBorder="1" applyAlignment="1">
      <alignment horizontal="left" vertical="center" wrapText="1" indent="1"/>
    </xf>
    <xf numFmtId="0" fontId="7" fillId="20" borderId="30" xfId="0" applyNumberFormat="1" applyFont="1" applyFill="1" applyBorder="1" applyAlignment="1">
      <alignment horizontal="right" vertical="center" wrapText="1" indent="1"/>
    </xf>
    <xf numFmtId="0" fontId="7" fillId="20" borderId="0" xfId="0" applyNumberFormat="1" applyFont="1" applyFill="1" applyAlignment="1">
      <alignment horizontal="right" vertical="center" wrapText="1" indent="1"/>
    </xf>
    <xf numFmtId="0" fontId="111" fillId="0" borderId="0" xfId="0" applyNumberFormat="1" applyFont="1" applyAlignment="1">
      <alignment vertical="center" wrapText="1"/>
    </xf>
    <xf numFmtId="0" fontId="7" fillId="20" borderId="60" xfId="0" applyNumberFormat="1" applyFont="1" applyFill="1" applyBorder="1" applyAlignment="1">
      <alignment horizontal="right" vertical="center" wrapText="1" indent="1"/>
    </xf>
    <xf numFmtId="0" fontId="7" fillId="20" borderId="56" xfId="0" applyNumberFormat="1" applyFont="1" applyFill="1" applyBorder="1" applyAlignment="1">
      <alignment horizontal="right" vertical="center" wrapText="1" indent="1"/>
    </xf>
    <xf numFmtId="0" fontId="7" fillId="20" borderId="31" xfId="0" applyNumberFormat="1" applyFont="1" applyFill="1" applyBorder="1" applyAlignment="1">
      <alignment horizontal="right" vertical="center" wrapText="1" indent="1"/>
    </xf>
    <xf numFmtId="0" fontId="111" fillId="0" borderId="0" xfId="0" applyNumberFormat="1" applyFont="1" applyAlignment="1">
      <alignment vertical="top" wrapText="1"/>
    </xf>
    <xf numFmtId="49" fontId="56" fillId="0" borderId="0" xfId="0" applyFont="1" applyAlignment="1">
      <alignment vertical="top" wrapText="1"/>
    </xf>
    <xf numFmtId="0" fontId="92" fillId="0" borderId="0" xfId="0" applyNumberFormat="1" applyFont="1" applyAlignment="1">
      <alignment vertical="center" wrapText="1"/>
    </xf>
    <xf numFmtId="0" fontId="92" fillId="0" borderId="0" xfId="0" applyNumberFormat="1" applyFont="1" applyAlignment="1">
      <alignment vertical="center"/>
    </xf>
    <xf numFmtId="0" fontId="7" fillId="8" borderId="57" xfId="0" applyNumberFormat="1" applyFont="1" applyFill="1" applyBorder="1" applyAlignment="1">
      <alignment horizontal="center" vertical="center" wrapText="1"/>
    </xf>
    <xf numFmtId="0" fontId="7" fillId="8" borderId="58" xfId="0" applyNumberFormat="1" applyFont="1" applyFill="1" applyBorder="1" applyAlignment="1">
      <alignment horizontal="center" vertical="center" wrapText="1"/>
    </xf>
    <xf numFmtId="0" fontId="7" fillId="8" borderId="59" xfId="0" applyNumberFormat="1" applyFont="1" applyFill="1" applyBorder="1" applyAlignment="1">
      <alignment horizontal="center" vertical="center" wrapText="1"/>
    </xf>
    <xf numFmtId="0" fontId="111" fillId="0" borderId="30" xfId="0" applyNumberFormat="1" applyFont="1" applyBorder="1" applyAlignment="1">
      <alignment vertical="center" wrapText="1"/>
    </xf>
    <xf numFmtId="0" fontId="111" fillId="0" borderId="30" xfId="0" applyNumberFormat="1" applyFont="1" applyBorder="1" applyAlignment="1">
      <alignment horizontal="left" vertical="center" wrapText="1"/>
    </xf>
    <xf numFmtId="0" fontId="111" fillId="0" borderId="0" xfId="0" applyNumberFormat="1" applyFont="1" applyAlignment="1">
      <alignment horizontal="left" vertical="center" wrapText="1"/>
    </xf>
    <xf numFmtId="0" fontId="8" fillId="0" borderId="5" xfId="0" applyNumberFormat="1" applyFont="1" applyBorder="1" applyAlignment="1">
      <alignment horizontal="center" vertical="center" wrapText="1"/>
    </xf>
    <xf numFmtId="0" fontId="8" fillId="0" borderId="6" xfId="0" applyNumberFormat="1" applyFont="1" applyBorder="1" applyAlignment="1">
      <alignment horizontal="center" vertical="center" wrapText="1"/>
    </xf>
    <xf numFmtId="0" fontId="86" fillId="0" borderId="0" xfId="33" applyFont="1" applyAlignment="1">
      <alignment horizontal="left" vertical="center" wrapText="1"/>
    </xf>
    <xf numFmtId="14" fontId="83" fillId="0" borderId="4" xfId="33" applyNumberFormat="1" applyFont="1" applyBorder="1" applyAlignment="1">
      <alignment horizontal="center" vertical="center" wrapText="1"/>
    </xf>
    <xf numFmtId="0" fontId="8" fillId="0" borderId="0" xfId="0" applyNumberFormat="1" applyFont="1" applyAlignment="1">
      <alignment horizontal="center" vertical="center" wrapText="1"/>
    </xf>
    <xf numFmtId="0" fontId="8" fillId="0" borderId="7" xfId="0" applyNumberFormat="1" applyFont="1" applyBorder="1" applyAlignment="1">
      <alignment horizontal="left" vertical="center" wrapText="1" indent="1"/>
    </xf>
    <xf numFmtId="0" fontId="8" fillId="0" borderId="7" xfId="0" applyNumberFormat="1" applyFont="1" applyBorder="1" applyAlignment="1">
      <alignment horizontal="center" vertical="center" wrapText="1"/>
    </xf>
    <xf numFmtId="4" fontId="8" fillId="0" borderId="4" xfId="0" applyNumberFormat="1" applyFont="1" applyBorder="1" applyAlignment="1">
      <alignment horizontal="center" vertical="center" wrapText="1"/>
    </xf>
    <xf numFmtId="49" fontId="29" fillId="0" borderId="63" xfId="0" applyFont="1" applyBorder="1" applyAlignment="1">
      <alignment horizontal="center" vertical="center" wrapText="1"/>
    </xf>
    <xf numFmtId="49" fontId="29" fillId="0" borderId="64" xfId="0" applyFont="1" applyBorder="1" applyAlignment="1">
      <alignment horizontal="center" vertical="center" wrapText="1"/>
    </xf>
    <xf numFmtId="49" fontId="29" fillId="0" borderId="6" xfId="0" applyFont="1" applyBorder="1" applyAlignment="1">
      <alignment horizontal="center" vertical="center" wrapText="1"/>
    </xf>
    <xf numFmtId="49" fontId="29" fillId="0" borderId="5" xfId="0" applyFont="1" applyBorder="1" applyAlignment="1">
      <alignment horizontal="center" vertical="center" wrapText="1"/>
    </xf>
    <xf numFmtId="0" fontId="8" fillId="0" borderId="12" xfId="0" applyNumberFormat="1" applyFont="1" applyBorder="1" applyAlignment="1">
      <alignment horizontal="left" vertical="center" wrapText="1" indent="1"/>
    </xf>
    <xf numFmtId="0" fontId="8" fillId="0" borderId="9" xfId="0" applyNumberFormat="1" applyFont="1" applyBorder="1" applyAlignment="1">
      <alignment horizontal="left" vertical="center" wrapText="1" indent="1"/>
    </xf>
    <xf numFmtId="0" fontId="8" fillId="0" borderId="29" xfId="0" applyNumberFormat="1" applyFont="1" applyBorder="1" applyAlignment="1">
      <alignment horizontal="left" vertical="center" wrapText="1" indent="1"/>
    </xf>
    <xf numFmtId="0" fontId="8" fillId="0" borderId="22" xfId="0" applyNumberFormat="1" applyFont="1" applyBorder="1" applyAlignment="1">
      <alignment horizontal="left" vertical="center" indent="1"/>
    </xf>
    <xf numFmtId="0" fontId="8" fillId="0" borderId="15" xfId="0" applyNumberFormat="1" applyFont="1" applyBorder="1" applyAlignment="1">
      <alignment horizontal="left" vertical="center" indent="1"/>
    </xf>
    <xf numFmtId="0" fontId="8" fillId="0" borderId="19" xfId="0" applyNumberFormat="1" applyFont="1" applyBorder="1" applyAlignment="1">
      <alignment horizontal="left" vertical="center" indent="1"/>
    </xf>
    <xf numFmtId="0" fontId="8" fillId="16" borderId="0" xfId="0" applyNumberFormat="1" applyFont="1" applyFill="1" applyAlignment="1">
      <alignment horizontal="center" vertical="center" wrapText="1"/>
    </xf>
    <xf numFmtId="0" fontId="8" fillId="0" borderId="4" xfId="0" applyNumberFormat="1" applyFont="1" applyBorder="1" applyAlignment="1">
      <alignment horizontal="center" vertical="center" wrapText="1"/>
    </xf>
    <xf numFmtId="0" fontId="65" fillId="0" borderId="29" xfId="0" applyNumberFormat="1" applyFont="1" applyBorder="1" applyAlignment="1">
      <alignment horizontal="center" vertical="center" wrapText="1"/>
    </xf>
    <xf numFmtId="0" fontId="65" fillId="0" borderId="11"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65" fillId="0" borderId="4" xfId="0" applyNumberFormat="1" applyFont="1" applyBorder="1" applyAlignment="1">
      <alignment horizontal="center" vertical="center" wrapText="1"/>
    </xf>
    <xf numFmtId="0" fontId="8" fillId="0" borderId="65" xfId="0" applyNumberFormat="1" applyFont="1" applyBorder="1" applyAlignment="1">
      <alignment horizontal="center" vertical="center" wrapText="1"/>
    </xf>
    <xf numFmtId="0" fontId="8" fillId="0" borderId="66" xfId="0" applyNumberFormat="1" applyFont="1" applyBorder="1" applyAlignment="1">
      <alignment horizontal="center" vertical="center" wrapText="1"/>
    </xf>
    <xf numFmtId="0" fontId="8" fillId="9" borderId="9" xfId="0" applyNumberFormat="1" applyFont="1" applyFill="1" applyBorder="1" applyAlignment="1">
      <alignment horizontal="left" vertical="center" wrapText="1" indent="1"/>
    </xf>
    <xf numFmtId="0" fontId="8" fillId="9" borderId="15" xfId="0" applyNumberFormat="1" applyFont="1" applyFill="1" applyBorder="1" applyAlignment="1">
      <alignment horizontal="left" vertical="center" wrapText="1" indent="1"/>
    </xf>
    <xf numFmtId="49" fontId="8" fillId="15" borderId="4" xfId="0" applyFont="1" applyFill="1" applyBorder="1" applyAlignment="1">
      <alignment horizontal="center" vertical="center" wrapText="1"/>
    </xf>
    <xf numFmtId="49" fontId="8" fillId="0" borderId="4" xfId="0" applyFont="1" applyBorder="1" applyAlignment="1">
      <alignment horizontal="center" vertical="center" wrapText="1"/>
    </xf>
    <xf numFmtId="0" fontId="8" fillId="15" borderId="9" xfId="0" applyNumberFormat="1" applyFont="1" applyFill="1" applyBorder="1" applyAlignment="1">
      <alignment horizontal="left" vertical="center" wrapText="1" indent="2"/>
    </xf>
    <xf numFmtId="0" fontId="8" fillId="15" borderId="28" xfId="0" applyNumberFormat="1" applyFont="1" applyFill="1" applyBorder="1" applyAlignment="1">
      <alignment horizontal="left" vertical="center" wrapText="1" indent="2"/>
    </xf>
    <xf numFmtId="0" fontId="8" fillId="15" borderId="15" xfId="0" applyNumberFormat="1" applyFont="1" applyFill="1" applyBorder="1" applyAlignment="1">
      <alignment horizontal="left" vertical="center" wrapText="1" indent="2"/>
    </xf>
    <xf numFmtId="49" fontId="8" fillId="15" borderId="15" xfId="0" applyFont="1" applyFill="1" applyBorder="1" applyAlignment="1">
      <alignment horizontal="center" vertical="center" wrapText="1"/>
    </xf>
    <xf numFmtId="14" fontId="71" fillId="0" borderId="62" xfId="0" applyNumberFormat="1" applyFont="1" applyBorder="1" applyAlignment="1">
      <alignment horizontal="center" vertical="center" wrapText="1"/>
    </xf>
    <xf numFmtId="0" fontId="8" fillId="0" borderId="62" xfId="0" applyNumberFormat="1" applyFont="1" applyBorder="1" applyAlignment="1">
      <alignment horizontal="center" vertical="center" wrapText="1"/>
    </xf>
    <xf numFmtId="49" fontId="8" fillId="0" borderId="11" xfId="0" applyFont="1" applyBorder="1" applyAlignment="1">
      <alignment horizontal="center" vertical="center" wrapText="1"/>
    </xf>
    <xf numFmtId="49" fontId="8" fillId="0" borderId="0" xfId="0" applyFont="1" applyAlignment="1">
      <alignment horizontal="center" vertical="center" wrapText="1"/>
    </xf>
    <xf numFmtId="0" fontId="0" fillId="0" borderId="4" xfId="0" applyNumberFormat="1" applyBorder="1" applyAlignment="1">
      <alignment horizontal="center" vertical="top"/>
    </xf>
    <xf numFmtId="49" fontId="0" fillId="0" borderId="4" xfId="0" applyBorder="1">
      <alignment vertical="top"/>
    </xf>
    <xf numFmtId="0" fontId="8" fillId="0" borderId="4" xfId="0" applyNumberFormat="1" applyFont="1" applyBorder="1" applyAlignment="1">
      <alignment horizontal="left" vertical="top" wrapText="1"/>
    </xf>
    <xf numFmtId="49" fontId="0" fillId="0" borderId="4" xfId="0" applyBorder="1" applyAlignment="1">
      <alignment horizontal="left" vertical="top"/>
    </xf>
    <xf numFmtId="0" fontId="8" fillId="15" borderId="9" xfId="0" applyNumberFormat="1" applyFont="1" applyFill="1" applyBorder="1" applyAlignment="1">
      <alignment horizontal="center" vertical="top" wrapText="1"/>
    </xf>
    <xf numFmtId="0" fontId="8" fillId="15" borderId="28" xfId="0" applyNumberFormat="1" applyFont="1" applyFill="1" applyBorder="1" applyAlignment="1">
      <alignment horizontal="center" vertical="top" wrapText="1"/>
    </xf>
    <xf numFmtId="0" fontId="8" fillId="15" borderId="15" xfId="0" applyNumberFormat="1" applyFont="1" applyFill="1" applyBorder="1" applyAlignment="1">
      <alignment horizontal="center" vertical="top" wrapText="1"/>
    </xf>
    <xf numFmtId="0" fontId="8" fillId="15" borderId="4" xfId="0" applyNumberFormat="1" applyFont="1" applyFill="1" applyBorder="1" applyAlignment="1">
      <alignment horizontal="left" vertical="top" wrapText="1"/>
    </xf>
    <xf numFmtId="49" fontId="0" fillId="15" borderId="4" xfId="0" applyFill="1" applyBorder="1" applyAlignment="1">
      <alignment horizontal="left" vertical="top"/>
    </xf>
    <xf numFmtId="0" fontId="0" fillId="0" borderId="29" xfId="0" applyNumberFormat="1" applyBorder="1" applyAlignment="1">
      <alignment horizontal="center" vertical="center"/>
    </xf>
    <xf numFmtId="0" fontId="0" fillId="0" borderId="14" xfId="0" applyNumberFormat="1" applyBorder="1" applyAlignment="1">
      <alignment horizontal="center" vertical="center"/>
    </xf>
    <xf numFmtId="0" fontId="0" fillId="0" borderId="11" xfId="0" applyNumberFormat="1" applyBorder="1" applyAlignment="1">
      <alignment horizontal="center" vertical="center"/>
    </xf>
    <xf numFmtId="0" fontId="0" fillId="0" borderId="0" xfId="0" applyNumberFormat="1" applyAlignment="1">
      <alignment horizontal="center" vertical="center"/>
    </xf>
    <xf numFmtId="49" fontId="8" fillId="0" borderId="11" xfId="0" applyFont="1" applyBorder="1" applyAlignment="1">
      <alignment horizontal="left" vertical="center" wrapText="1"/>
    </xf>
    <xf numFmtId="49" fontId="8" fillId="0" borderId="0" xfId="0" applyFont="1" applyAlignment="1">
      <alignment horizontal="left" vertical="center" wrapText="1"/>
    </xf>
    <xf numFmtId="49" fontId="0" fillId="0" borderId="0" xfId="0" applyAlignment="1">
      <alignment horizontal="left" vertical="top"/>
    </xf>
    <xf numFmtId="0" fontId="0" fillId="0" borderId="11" xfId="0" applyNumberFormat="1" applyBorder="1" applyAlignment="1">
      <alignment horizontal="left" vertical="center" wrapText="1"/>
    </xf>
    <xf numFmtId="0" fontId="0" fillId="0" borderId="0" xfId="0" applyNumberFormat="1" applyAlignment="1">
      <alignment horizontal="left" vertical="center" wrapText="1"/>
    </xf>
    <xf numFmtId="49" fontId="0" fillId="0" borderId="0" xfId="0" applyAlignment="1">
      <alignment horizontal="left" vertical="center" wrapText="1"/>
    </xf>
    <xf numFmtId="49" fontId="0" fillId="0" borderId="11" xfId="0" applyBorder="1" applyAlignment="1">
      <alignment horizontal="left" vertical="center" wrapText="1"/>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0" fillId="0" borderId="9" xfId="0" applyNumberFormat="1" applyBorder="1" applyAlignment="1">
      <alignment horizontal="center" vertical="top"/>
    </xf>
    <xf numFmtId="0" fontId="0" fillId="0" borderId="28" xfId="0" applyNumberFormat="1" applyBorder="1" applyAlignment="1">
      <alignment horizontal="center" vertical="top"/>
    </xf>
    <xf numFmtId="0" fontId="0" fillId="0" borderId="15" xfId="0" applyNumberFormat="1" applyBorder="1" applyAlignment="1">
      <alignment horizontal="center" vertical="top"/>
    </xf>
    <xf numFmtId="0" fontId="8" fillId="0" borderId="9" xfId="0" applyNumberFormat="1" applyFont="1" applyBorder="1" applyAlignment="1">
      <alignment horizontal="left" vertical="top" wrapText="1"/>
    </xf>
    <xf numFmtId="0" fontId="8" fillId="0" borderId="28" xfId="0" applyNumberFormat="1" applyFont="1" applyBorder="1" applyAlignment="1">
      <alignment horizontal="left" vertical="top" wrapText="1"/>
    </xf>
    <xf numFmtId="0" fontId="8" fillId="0" borderId="15" xfId="0" applyNumberFormat="1" applyFont="1" applyBorder="1" applyAlignment="1">
      <alignment horizontal="left" vertical="top" wrapText="1"/>
    </xf>
    <xf numFmtId="0" fontId="8" fillId="15" borderId="9" xfId="0" applyNumberFormat="1" applyFont="1" applyFill="1" applyBorder="1" applyAlignment="1">
      <alignment horizontal="left" vertical="top" wrapText="1"/>
    </xf>
    <xf numFmtId="0" fontId="8" fillId="15" borderId="28" xfId="0" applyNumberFormat="1" applyFont="1" applyFill="1" applyBorder="1" applyAlignment="1">
      <alignment horizontal="left" vertical="top" wrapText="1"/>
    </xf>
    <xf numFmtId="0" fontId="8" fillId="15" borderId="15" xfId="0" applyNumberFormat="1" applyFont="1" applyFill="1" applyBorder="1" applyAlignment="1">
      <alignment horizontal="left" vertical="top" wrapText="1"/>
    </xf>
    <xf numFmtId="49" fontId="40" fillId="9" borderId="20" xfId="0" applyFont="1" applyFill="1" applyBorder="1" applyAlignment="1">
      <alignment horizontal="center" vertical="center" wrapText="1"/>
    </xf>
    <xf numFmtId="0" fontId="63" fillId="0" borderId="16" xfId="0" applyNumberFormat="1" applyFont="1" applyBorder="1" applyAlignment="1">
      <alignment horizontal="left" vertical="center" wrapText="1" indent="1"/>
    </xf>
    <xf numFmtId="0" fontId="63" fillId="0" borderId="28" xfId="0" applyNumberFormat="1" applyFont="1" applyBorder="1" applyAlignment="1">
      <alignment horizontal="left" vertical="center" wrapText="1" indent="1"/>
    </xf>
    <xf numFmtId="0" fontId="63" fillId="0" borderId="14" xfId="0" applyNumberFormat="1" applyFont="1" applyBorder="1" applyAlignment="1">
      <alignment horizontal="left" vertical="center" wrapText="1" indent="1"/>
    </xf>
    <xf numFmtId="0" fontId="8" fillId="0" borderId="20" xfId="0" applyNumberFormat="1" applyFont="1" applyBorder="1" applyAlignment="1">
      <alignment horizontal="left" vertical="center" indent="1"/>
    </xf>
    <xf numFmtId="0" fontId="0" fillId="0" borderId="4" xfId="0" applyNumberFormat="1" applyBorder="1" applyAlignment="1">
      <alignment horizontal="center" vertical="center" wrapText="1"/>
    </xf>
    <xf numFmtId="0" fontId="7" fillId="0" borderId="11" xfId="0" applyNumberFormat="1" applyFont="1" applyBorder="1" applyAlignment="1">
      <alignment horizontal="left" vertical="center" wrapText="1" indent="1"/>
    </xf>
    <xf numFmtId="0" fontId="8" fillId="0" borderId="9" xfId="0" applyNumberFormat="1" applyFont="1" applyBorder="1" applyAlignment="1">
      <alignment horizontal="center" vertical="center" wrapText="1"/>
    </xf>
    <xf numFmtId="0" fontId="8" fillId="0" borderId="29" xfId="0" applyNumberFormat="1" applyFont="1" applyBorder="1" applyAlignment="1">
      <alignment horizontal="center" vertical="center" wrapText="1"/>
    </xf>
    <xf numFmtId="0" fontId="8" fillId="0" borderId="12" xfId="0" applyNumberFormat="1" applyFont="1" applyBorder="1" applyAlignment="1">
      <alignment horizontal="center" vertical="center" wrapText="1"/>
    </xf>
    <xf numFmtId="0" fontId="8" fillId="0" borderId="14" xfId="0" applyNumberFormat="1" applyFont="1" applyBorder="1" applyAlignment="1">
      <alignment horizontal="center" vertical="center" wrapText="1"/>
    </xf>
    <xf numFmtId="0" fontId="8" fillId="0" borderId="16" xfId="0" applyNumberFormat="1" applyFont="1" applyBorder="1" applyAlignment="1">
      <alignment horizontal="center" vertical="center" wrapText="1"/>
    </xf>
    <xf numFmtId="0" fontId="8" fillId="0" borderId="28" xfId="0" applyNumberFormat="1" applyFont="1" applyBorder="1" applyAlignment="1">
      <alignment horizontal="center" vertical="center" wrapText="1"/>
    </xf>
    <xf numFmtId="0" fontId="8" fillId="0" borderId="19" xfId="0" applyNumberFormat="1" applyFont="1" applyBorder="1" applyAlignment="1">
      <alignment horizontal="center" vertical="center" wrapText="1"/>
    </xf>
    <xf numFmtId="0" fontId="8" fillId="0" borderId="22" xfId="0" applyNumberFormat="1" applyFont="1" applyBorder="1" applyAlignment="1">
      <alignment horizontal="center" vertical="center" wrapText="1"/>
    </xf>
    <xf numFmtId="49" fontId="8" fillId="0" borderId="4" xfId="0" applyFont="1" applyBorder="1" applyAlignment="1">
      <alignment horizontal="center" vertical="center"/>
    </xf>
    <xf numFmtId="49" fontId="8" fillId="0" borderId="9" xfId="0" applyFont="1" applyBorder="1" applyAlignment="1">
      <alignment horizontal="center" vertical="center"/>
    </xf>
    <xf numFmtId="0" fontId="8" fillId="0" borderId="4" xfId="0" applyNumberFormat="1" applyFont="1" applyBorder="1" applyAlignment="1">
      <alignment horizontal="left" vertical="center" wrapText="1"/>
    </xf>
    <xf numFmtId="0" fontId="8" fillId="0" borderId="9" xfId="0" applyNumberFormat="1" applyFont="1" applyBorder="1" applyAlignment="1">
      <alignment horizontal="left" vertical="center" wrapText="1"/>
    </xf>
    <xf numFmtId="0" fontId="8" fillId="0" borderId="29" xfId="0" applyNumberFormat="1" applyFont="1" applyBorder="1" applyAlignment="1">
      <alignment horizontal="left" vertical="center" wrapText="1"/>
    </xf>
    <xf numFmtId="49" fontId="8" fillId="15" borderId="9" xfId="0" applyFont="1" applyFill="1" applyBorder="1" applyAlignment="1">
      <alignment horizontal="center" vertical="center" wrapText="1"/>
    </xf>
    <xf numFmtId="49" fontId="8" fillId="15" borderId="28" xfId="0" applyFont="1" applyFill="1" applyBorder="1" applyAlignment="1">
      <alignment horizontal="center" vertical="center" wrapText="1"/>
    </xf>
    <xf numFmtId="0" fontId="8" fillId="0" borderId="11" xfId="0" applyNumberFormat="1" applyFont="1" applyBorder="1" applyAlignment="1">
      <alignment horizontal="center" vertical="center"/>
    </xf>
    <xf numFmtId="0" fontId="8" fillId="0" borderId="0" xfId="0" applyNumberFormat="1" applyFont="1" applyAlignment="1">
      <alignment horizontal="center" vertical="center"/>
    </xf>
    <xf numFmtId="0" fontId="33" fillId="0" borderId="20" xfId="0" applyNumberFormat="1" applyFont="1" applyBorder="1" applyAlignment="1">
      <alignment horizontal="left" vertical="center"/>
    </xf>
    <xf numFmtId="0" fontId="33" fillId="0" borderId="22" xfId="0" applyNumberFormat="1" applyFont="1" applyBorder="1" applyAlignment="1">
      <alignment horizontal="left" vertical="center"/>
    </xf>
    <xf numFmtId="0" fontId="33" fillId="0" borderId="0" xfId="0" applyNumberFormat="1" applyFont="1" applyAlignment="1">
      <alignment horizontal="left" vertical="center"/>
    </xf>
    <xf numFmtId="0" fontId="33" fillId="0" borderId="16" xfId="0" applyNumberFormat="1" applyFont="1" applyBorder="1" applyAlignment="1">
      <alignment horizontal="left" vertical="center"/>
    </xf>
    <xf numFmtId="0" fontId="8" fillId="0" borderId="6" xfId="0" applyNumberFormat="1" applyFont="1" applyBorder="1" applyAlignment="1">
      <alignment horizontal="left" vertical="center" wrapText="1"/>
    </xf>
    <xf numFmtId="0" fontId="7" fillId="0" borderId="20" xfId="0" applyNumberFormat="1" applyFont="1" applyBorder="1" applyAlignment="1">
      <alignment horizontal="left" vertical="center" wrapText="1" indent="1"/>
    </xf>
    <xf numFmtId="49" fontId="8" fillId="9" borderId="0" xfId="0" applyFont="1" applyFill="1" applyAlignment="1">
      <alignment horizontal="center" vertical="center" wrapText="1"/>
    </xf>
    <xf numFmtId="0" fontId="38" fillId="0" borderId="0" xfId="33" applyFont="1" applyAlignment="1">
      <alignment horizontal="right" vertical="top" wrapText="1"/>
    </xf>
    <xf numFmtId="49" fontId="0" fillId="9" borderId="4" xfId="34" applyNumberFormat="1" applyFont="1" applyFill="1" applyBorder="1" applyAlignment="1">
      <alignment horizontal="center" vertical="center" wrapText="1"/>
    </xf>
    <xf numFmtId="49" fontId="8" fillId="9" borderId="4" xfId="34" applyNumberFormat="1" applyFont="1" applyFill="1" applyBorder="1" applyAlignment="1">
      <alignment horizontal="center" vertical="center" wrapText="1"/>
    </xf>
    <xf numFmtId="0" fontId="8" fillId="9" borderId="0" xfId="0" applyNumberFormat="1" applyFont="1" applyFill="1" applyAlignment="1">
      <alignment horizontal="center" vertical="center" wrapText="1"/>
    </xf>
    <xf numFmtId="0" fontId="38" fillId="0" borderId="0" xfId="33" applyFont="1" applyAlignment="1">
      <alignment horizontal="left" vertical="top" wrapText="1" indent="1"/>
    </xf>
    <xf numFmtId="0" fontId="83" fillId="9" borderId="0" xfId="0" applyNumberFormat="1" applyFont="1" applyFill="1" applyAlignment="1">
      <alignment horizontal="left" vertical="center" wrapText="1"/>
    </xf>
    <xf numFmtId="0" fontId="0" fillId="9" borderId="4" xfId="0" applyNumberFormat="1" applyFill="1" applyBorder="1" applyAlignment="1">
      <alignment horizontal="center" vertical="center" wrapText="1"/>
    </xf>
    <xf numFmtId="0" fontId="8" fillId="9" borderId="4" xfId="0" applyNumberFormat="1" applyFont="1" applyFill="1" applyBorder="1" applyAlignment="1">
      <alignment horizontal="center" vertical="center" wrapText="1"/>
    </xf>
    <xf numFmtId="0" fontId="8" fillId="9" borderId="16" xfId="0" applyNumberFormat="1" applyFont="1" applyFill="1" applyBorder="1" applyAlignment="1">
      <alignment horizontal="center" vertical="center" wrapText="1"/>
    </xf>
    <xf numFmtId="0" fontId="8" fillId="0" borderId="20" xfId="0" applyNumberFormat="1" applyFont="1" applyBorder="1" applyAlignment="1">
      <alignment horizontal="left" vertical="center" wrapText="1" indent="1"/>
    </xf>
    <xf numFmtId="0" fontId="8" fillId="9" borderId="9" xfId="0" applyNumberFormat="1" applyFont="1" applyFill="1" applyBorder="1" applyAlignment="1">
      <alignment horizontal="left" vertical="top" wrapText="1"/>
    </xf>
    <xf numFmtId="0" fontId="8" fillId="9" borderId="28" xfId="0" applyNumberFormat="1" applyFont="1" applyFill="1" applyBorder="1" applyAlignment="1">
      <alignment horizontal="left" vertical="top" wrapText="1"/>
    </xf>
    <xf numFmtId="0" fontId="8" fillId="9" borderId="15" xfId="0" applyNumberFormat="1" applyFont="1" applyFill="1" applyBorder="1" applyAlignment="1">
      <alignment horizontal="left" vertical="top" wrapText="1"/>
    </xf>
    <xf numFmtId="0" fontId="0" fillId="0" borderId="6" xfId="0" applyNumberFormat="1" applyBorder="1" applyAlignment="1">
      <alignment horizontal="center" vertical="center" wrapText="1"/>
    </xf>
    <xf numFmtId="0" fontId="0" fillId="0" borderId="9" xfId="0" applyNumberFormat="1" applyBorder="1" applyAlignment="1">
      <alignment horizontal="center" vertical="center" wrapText="1"/>
    </xf>
    <xf numFmtId="0" fontId="0" fillId="0" borderId="15" xfId="0" applyNumberFormat="1" applyBorder="1" applyAlignment="1">
      <alignment horizontal="center" vertical="center" wrapText="1"/>
    </xf>
    <xf numFmtId="0" fontId="0" fillId="0" borderId="12" xfId="0" applyNumberFormat="1" applyBorder="1" applyAlignment="1">
      <alignment horizontal="center" vertical="center" wrapText="1"/>
    </xf>
    <xf numFmtId="0" fontId="0" fillId="0" borderId="22" xfId="0" applyNumberFormat="1" applyBorder="1" applyAlignment="1">
      <alignment horizontal="center" vertical="center" wrapText="1"/>
    </xf>
    <xf numFmtId="0" fontId="0" fillId="0" borderId="29" xfId="0" applyNumberFormat="1" applyBorder="1" applyAlignment="1">
      <alignment horizontal="center" vertical="center" wrapText="1"/>
    </xf>
    <xf numFmtId="0" fontId="0" fillId="0" borderId="19" xfId="0" applyNumberFormat="1" applyBorder="1" applyAlignment="1">
      <alignment horizontal="center" vertical="center" wrapText="1"/>
    </xf>
    <xf numFmtId="0" fontId="0" fillId="0" borderId="9" xfId="0" applyNumberFormat="1" applyBorder="1" applyAlignment="1">
      <alignment horizontal="left" vertical="top" wrapText="1"/>
    </xf>
    <xf numFmtId="0" fontId="0" fillId="0" borderId="15" xfId="0" applyNumberFormat="1" applyBorder="1" applyAlignment="1">
      <alignment horizontal="left" vertical="top" wrapText="1"/>
    </xf>
    <xf numFmtId="0" fontId="8" fillId="0" borderId="22" xfId="0" applyNumberFormat="1" applyFont="1" applyBorder="1" applyAlignment="1">
      <alignment horizontal="left" vertical="center" wrapText="1" indent="1"/>
    </xf>
    <xf numFmtId="0" fontId="8" fillId="0" borderId="15" xfId="0" applyNumberFormat="1" applyFont="1" applyBorder="1" applyAlignment="1">
      <alignment horizontal="left" vertical="center" wrapText="1" indent="1"/>
    </xf>
    <xf numFmtId="0" fontId="8" fillId="0" borderId="19" xfId="0" applyNumberFormat="1" applyFont="1" applyBorder="1" applyAlignment="1">
      <alignment horizontal="left" vertical="center" wrapText="1" indent="1"/>
    </xf>
    <xf numFmtId="0" fontId="39" fillId="0" borderId="0" xfId="0" applyNumberFormat="1" applyFont="1" applyAlignment="1">
      <alignment horizontal="center" vertical="center" wrapText="1"/>
    </xf>
    <xf numFmtId="0" fontId="0" fillId="0" borderId="7" xfId="0" applyNumberFormat="1" applyBorder="1" applyAlignment="1">
      <alignment horizontal="center" vertical="center" wrapText="1"/>
    </xf>
    <xf numFmtId="0" fontId="0" fillId="0" borderId="5" xfId="0" applyNumberFormat="1" applyBorder="1" applyAlignment="1">
      <alignment horizontal="center" vertical="center" wrapText="1"/>
    </xf>
    <xf numFmtId="49" fontId="0" fillId="0" borderId="29" xfId="0" applyBorder="1" applyAlignment="1">
      <alignment horizontal="center" vertical="center" wrapText="1"/>
    </xf>
    <xf numFmtId="49" fontId="0" fillId="0" borderId="19" xfId="0" applyBorder="1" applyAlignment="1">
      <alignment horizontal="center" vertical="center" wrapText="1"/>
    </xf>
    <xf numFmtId="0" fontId="8" fillId="15" borderId="11" xfId="0" applyNumberFormat="1" applyFont="1" applyFill="1" applyBorder="1" applyAlignment="1">
      <alignment horizontal="left" vertical="center" wrapText="1"/>
    </xf>
    <xf numFmtId="0" fontId="8" fillId="15" borderId="20" xfId="0" applyNumberFormat="1" applyFont="1" applyFill="1" applyBorder="1" applyAlignment="1">
      <alignment horizontal="left" vertical="center" wrapText="1"/>
    </xf>
    <xf numFmtId="0" fontId="8" fillId="0" borderId="15" xfId="0" applyNumberFormat="1" applyFont="1" applyBorder="1" applyAlignment="1">
      <alignment horizontal="center" vertical="center" wrapText="1"/>
    </xf>
    <xf numFmtId="0" fontId="0" fillId="0" borderId="28" xfId="0" applyNumberFormat="1" applyBorder="1" applyAlignment="1">
      <alignment horizontal="left" vertical="top" wrapText="1"/>
    </xf>
    <xf numFmtId="49" fontId="85" fillId="0" borderId="4" xfId="0" applyFont="1" applyBorder="1" applyAlignment="1">
      <alignment horizontal="center" vertical="top" wrapText="1"/>
    </xf>
    <xf numFmtId="0" fontId="85" fillId="7" borderId="4" xfId="0" applyNumberFormat="1" applyFont="1" applyFill="1" applyBorder="1" applyAlignment="1">
      <alignment horizontal="center" vertical="center" wrapText="1"/>
    </xf>
    <xf numFmtId="49" fontId="85" fillId="0" borderId="29" xfId="0" applyFont="1" applyBorder="1" applyAlignment="1">
      <alignment horizontal="center" vertical="top" wrapText="1"/>
    </xf>
    <xf numFmtId="49" fontId="85" fillId="0" borderId="19" xfId="0" applyFont="1" applyBorder="1" applyAlignment="1">
      <alignment horizontal="center" vertical="top" wrapText="1"/>
    </xf>
    <xf numFmtId="49" fontId="85" fillId="0" borderId="6" xfId="0" applyFont="1" applyBorder="1" applyAlignment="1">
      <alignment horizontal="center" vertical="top" wrapText="1"/>
    </xf>
    <xf numFmtId="49" fontId="85" fillId="0" borderId="7" xfId="0" applyFont="1" applyBorder="1" applyAlignment="1">
      <alignment horizontal="center" vertical="top" wrapText="1"/>
    </xf>
    <xf numFmtId="49" fontId="85" fillId="0" borderId="5" xfId="0" applyFont="1" applyBorder="1" applyAlignment="1">
      <alignment horizontal="center" vertical="top" wrapText="1"/>
    </xf>
    <xf numFmtId="49" fontId="85" fillId="0" borderId="9" xfId="0" applyFont="1" applyBorder="1" applyAlignment="1">
      <alignment horizontal="center" vertical="top" wrapText="1"/>
    </xf>
    <xf numFmtId="49" fontId="85" fillId="0" borderId="28" xfId="0" applyFont="1" applyBorder="1" applyAlignment="1">
      <alignment horizontal="center" vertical="top" wrapText="1"/>
    </xf>
    <xf numFmtId="49" fontId="85" fillId="0" borderId="15" xfId="0" applyFont="1" applyBorder="1" applyAlignment="1">
      <alignment horizontal="center" vertical="top" wrapText="1"/>
    </xf>
    <xf numFmtId="49" fontId="8" fillId="0" borderId="4" xfId="0" applyFont="1" applyBorder="1" applyAlignment="1">
      <alignment horizontal="center" vertical="top" wrapText="1"/>
    </xf>
    <xf numFmtId="0" fontId="0" fillId="11" borderId="4" xfId="0" applyNumberFormat="1" applyFill="1" applyBorder="1" applyAlignment="1">
      <alignment horizontal="left" vertical="top" wrapText="1" indent="1"/>
    </xf>
    <xf numFmtId="49" fontId="8" fillId="15" borderId="9" xfId="0" applyFont="1" applyFill="1" applyBorder="1" applyAlignment="1">
      <alignment horizontal="center" vertical="top" wrapText="1"/>
    </xf>
    <xf numFmtId="49" fontId="8" fillId="15" borderId="15" xfId="0" applyFont="1" applyFill="1" applyBorder="1" applyAlignment="1">
      <alignment horizontal="center" vertical="top" wrapText="1"/>
    </xf>
    <xf numFmtId="170" fontId="0" fillId="14" borderId="4" xfId="0" applyNumberFormat="1" applyFill="1" applyBorder="1" applyAlignment="1" applyProtection="1">
      <alignment horizontal="center" vertical="top" wrapText="1"/>
      <protection locked="0"/>
    </xf>
    <xf numFmtId="49" fontId="0" fillId="14" borderId="4" xfId="0" applyFill="1" applyBorder="1" applyAlignment="1" applyProtection="1">
      <alignment horizontal="center" vertical="top" wrapText="1"/>
      <protection locked="0"/>
    </xf>
    <xf numFmtId="170" fontId="0" fillId="6" borderId="4" xfId="0" applyNumberFormat="1" applyFill="1" applyBorder="1" applyAlignment="1" applyProtection="1">
      <alignment horizontal="center" vertical="top" wrapText="1"/>
      <protection locked="0"/>
    </xf>
    <xf numFmtId="49" fontId="0" fillId="6" borderId="4" xfId="0" applyFill="1" applyBorder="1" applyAlignment="1" applyProtection="1">
      <alignment horizontal="center" vertical="top" wrapText="1"/>
      <protection locked="0"/>
    </xf>
    <xf numFmtId="49" fontId="8" fillId="15" borderId="4" xfId="0" applyFont="1" applyFill="1" applyBorder="1" applyAlignment="1">
      <alignment horizontal="left" vertical="top" wrapText="1"/>
    </xf>
    <xf numFmtId="0" fontId="40" fillId="0" borderId="0" xfId="0" applyNumberFormat="1" applyFont="1" applyAlignment="1">
      <alignment horizontal="center" vertical="center" wrapText="1"/>
    </xf>
    <xf numFmtId="0" fontId="0" fillId="0" borderId="4" xfId="0" applyNumberFormat="1" applyBorder="1" applyAlignment="1">
      <alignment horizontal="center" vertical="center"/>
    </xf>
    <xf numFmtId="49" fontId="8" fillId="14" borderId="4" xfId="0" applyFont="1" applyFill="1" applyBorder="1" applyAlignment="1" applyProtection="1">
      <alignment horizontal="left" vertical="top" wrapText="1"/>
      <protection locked="0"/>
    </xf>
    <xf numFmtId="49" fontId="8" fillId="0" borderId="5" xfId="0" applyFont="1" applyBorder="1" applyAlignment="1">
      <alignment horizontal="center" vertical="center" wrapText="1"/>
    </xf>
    <xf numFmtId="0" fontId="8" fillId="6" borderId="4" xfId="0" applyNumberFormat="1" applyFont="1" applyFill="1" applyBorder="1" applyAlignment="1" applyProtection="1">
      <alignment horizontal="left" vertical="top" wrapText="1"/>
      <protection locked="0"/>
    </xf>
    <xf numFmtId="49" fontId="0" fillId="14" borderId="4" xfId="0" applyFill="1" applyBorder="1" applyAlignment="1" applyProtection="1">
      <alignment horizontal="left" vertical="center" wrapText="1"/>
      <protection locked="0"/>
    </xf>
    <xf numFmtId="49" fontId="8" fillId="0" borderId="9" xfId="0" applyFont="1" applyBorder="1" applyAlignment="1">
      <alignment horizontal="center" vertical="center" wrapText="1"/>
    </xf>
    <xf numFmtId="49" fontId="8" fillId="0" borderId="28" xfId="0" applyFont="1" applyBorder="1" applyAlignment="1">
      <alignment horizontal="center" vertical="center" wrapText="1"/>
    </xf>
    <xf numFmtId="49" fontId="8" fillId="0" borderId="15" xfId="0" applyFont="1" applyBorder="1" applyAlignment="1">
      <alignment horizontal="center" vertical="center" wrapText="1"/>
    </xf>
    <xf numFmtId="0" fontId="0" fillId="0" borderId="6" xfId="0" applyNumberFormat="1" applyBorder="1" applyAlignment="1">
      <alignment horizontal="right" vertical="center" wrapText="1" indent="1"/>
    </xf>
    <xf numFmtId="0" fontId="0" fillId="0" borderId="7" xfId="0" applyNumberFormat="1" applyBorder="1" applyAlignment="1">
      <alignment horizontal="right" vertical="center" wrapText="1" indent="1"/>
    </xf>
    <xf numFmtId="0" fontId="0" fillId="0" borderId="5" xfId="0" applyNumberFormat="1" applyBorder="1" applyAlignment="1">
      <alignment horizontal="right" vertical="center" wrapText="1" indent="1"/>
    </xf>
    <xf numFmtId="0" fontId="0" fillId="11" borderId="4" xfId="0" applyNumberFormat="1" applyFill="1" applyBorder="1" applyAlignment="1">
      <alignment horizontal="left" vertical="center" wrapText="1" indent="1"/>
    </xf>
    <xf numFmtId="49" fontId="113" fillId="15" borderId="9" xfId="0" applyFont="1" applyFill="1" applyBorder="1" applyAlignment="1">
      <alignment horizontal="left" vertical="center" wrapText="1" indent="1"/>
    </xf>
    <xf numFmtId="49" fontId="113" fillId="15" borderId="28" xfId="0" applyFont="1" applyFill="1" applyBorder="1" applyAlignment="1">
      <alignment horizontal="left" vertical="center" wrapText="1" indent="1"/>
    </xf>
    <xf numFmtId="49" fontId="113" fillId="15" borderId="15" xfId="0" applyFont="1" applyFill="1" applyBorder="1" applyAlignment="1">
      <alignment horizontal="left" vertical="center" wrapText="1" indent="1"/>
    </xf>
    <xf numFmtId="49" fontId="113" fillId="0" borderId="4" xfId="0" applyFont="1" applyBorder="1" applyAlignment="1">
      <alignment horizontal="left" vertical="center" wrapText="1"/>
    </xf>
    <xf numFmtId="49" fontId="96" fillId="0" borderId="4" xfId="0" applyFont="1" applyBorder="1" applyAlignment="1">
      <alignment horizontal="center" vertical="center" wrapText="1"/>
    </xf>
    <xf numFmtId="0" fontId="38" fillId="0" borderId="4" xfId="0" applyNumberFormat="1" applyFont="1" applyBorder="1" applyAlignment="1">
      <alignment horizontal="center" vertical="center"/>
    </xf>
    <xf numFmtId="0" fontId="0" fillId="14" borderId="4" xfId="0" applyNumberFormat="1" applyFill="1" applyBorder="1" applyAlignment="1" applyProtection="1">
      <alignment horizontal="left" vertical="center" wrapText="1"/>
      <protection locked="0"/>
    </xf>
    <xf numFmtId="49" fontId="0" fillId="14" borderId="6" xfId="0" applyFill="1" applyBorder="1" applyAlignment="1" applyProtection="1">
      <alignment horizontal="left" vertical="center" wrapText="1"/>
      <protection locked="0"/>
    </xf>
    <xf numFmtId="0" fontId="39" fillId="0" borderId="0" xfId="0" applyNumberFormat="1" applyFont="1" applyAlignment="1">
      <alignment horizontal="center" vertical="top"/>
    </xf>
    <xf numFmtId="49" fontId="30" fillId="0" borderId="9" xfId="0" applyFont="1" applyBorder="1" applyAlignment="1">
      <alignment horizontal="center" vertical="top" wrapText="1"/>
    </xf>
    <xf numFmtId="49" fontId="8" fillId="0" borderId="28" xfId="0" applyFont="1" applyBorder="1" applyAlignment="1">
      <alignment horizontal="center" vertical="top" wrapText="1"/>
    </xf>
    <xf numFmtId="49" fontId="8" fillId="0" borderId="15" xfId="0" applyFont="1" applyBorder="1" applyAlignment="1">
      <alignment horizontal="center" vertical="top" wrapText="1"/>
    </xf>
    <xf numFmtId="49" fontId="8" fillId="14" borderId="6" xfId="0" applyFont="1" applyFill="1" applyBorder="1" applyAlignment="1" applyProtection="1">
      <alignment horizontal="left" vertical="center" wrapText="1" indent="1"/>
      <protection locked="0"/>
    </xf>
    <xf numFmtId="49" fontId="8" fillId="14" borderId="4" xfId="0" applyFont="1" applyFill="1" applyBorder="1" applyAlignment="1" applyProtection="1">
      <alignment horizontal="left" vertical="center" wrapText="1" indent="1"/>
      <protection locked="0"/>
    </xf>
    <xf numFmtId="0" fontId="8" fillId="0" borderId="15" xfId="0" applyNumberFormat="1" applyFont="1" applyBorder="1" applyAlignment="1">
      <alignment horizontal="left" vertical="center" wrapText="1"/>
    </xf>
    <xf numFmtId="0" fontId="0" fillId="15" borderId="4" xfId="0" applyNumberFormat="1" applyFill="1" applyBorder="1" applyAlignment="1" applyProtection="1">
      <alignment horizontal="left" vertical="center" wrapText="1"/>
      <protection locked="0"/>
    </xf>
    <xf numFmtId="49" fontId="0" fillId="15" borderId="4" xfId="0" applyFill="1" applyBorder="1" applyAlignment="1" applyProtection="1">
      <alignment horizontal="left" vertical="center" wrapText="1"/>
      <protection locked="0"/>
    </xf>
    <xf numFmtId="49" fontId="8" fillId="6" borderId="4" xfId="0" applyFont="1" applyFill="1" applyBorder="1" applyAlignment="1" applyProtection="1">
      <alignment horizontal="left" vertical="center" wrapText="1"/>
      <protection locked="0"/>
    </xf>
    <xf numFmtId="49" fontId="0" fillId="6" borderId="4" xfId="0" applyFill="1" applyBorder="1" applyAlignment="1" applyProtection="1">
      <alignment horizontal="left" vertical="top"/>
      <protection locked="0"/>
    </xf>
    <xf numFmtId="0" fontId="8" fillId="15" borderId="4" xfId="0" applyNumberFormat="1" applyFont="1" applyFill="1" applyBorder="1" applyAlignment="1">
      <alignment horizontal="center" vertical="center" wrapText="1"/>
    </xf>
    <xf numFmtId="14" fontId="71" fillId="0" borderId="9" xfId="0" applyNumberFormat="1" applyFont="1" applyBorder="1" applyAlignment="1">
      <alignment horizontal="center" vertical="center" wrapText="1"/>
    </xf>
    <xf numFmtId="14" fontId="71" fillId="0" borderId="28" xfId="0" applyNumberFormat="1" applyFont="1" applyBorder="1" applyAlignment="1">
      <alignment horizontal="center" vertical="center" wrapText="1"/>
    </xf>
    <xf numFmtId="0" fontId="65" fillId="0" borderId="4" xfId="0" applyNumberFormat="1" applyFont="1" applyBorder="1" applyAlignment="1">
      <alignment horizontal="left" vertical="center" wrapText="1" indent="1"/>
    </xf>
    <xf numFmtId="0" fontId="65" fillId="0" borderId="4" xfId="0" applyNumberFormat="1" applyFont="1" applyBorder="1" applyAlignment="1">
      <alignment horizontal="left" vertical="top" indent="1"/>
    </xf>
    <xf numFmtId="0" fontId="29" fillId="0" borderId="4" xfId="0" applyNumberFormat="1" applyFont="1" applyBorder="1" applyAlignment="1">
      <alignment horizontal="center" vertical="center" wrapText="1"/>
    </xf>
    <xf numFmtId="0" fontId="8" fillId="15" borderId="4" xfId="0" applyNumberFormat="1" applyFont="1" applyFill="1" applyBorder="1" applyAlignment="1">
      <alignment horizontal="left" vertical="center" wrapText="1" indent="1"/>
    </xf>
    <xf numFmtId="49" fontId="8" fillId="15" borderId="4" xfId="0" applyFont="1" applyFill="1" applyBorder="1" applyAlignment="1">
      <alignment horizontal="center" vertical="top" wrapText="1"/>
    </xf>
    <xf numFmtId="49" fontId="8" fillId="15" borderId="6" xfId="0" applyFont="1" applyFill="1" applyBorder="1" applyAlignment="1">
      <alignment horizontal="center" vertical="top" wrapText="1"/>
    </xf>
    <xf numFmtId="49" fontId="0" fillId="11" borderId="4" xfId="0" applyFill="1" applyBorder="1" applyAlignment="1">
      <alignment horizontal="center" vertical="top" wrapText="1"/>
    </xf>
    <xf numFmtId="0" fontId="8" fillId="11" borderId="4" xfId="0" applyNumberFormat="1" applyFont="1" applyFill="1" applyBorder="1" applyAlignment="1">
      <alignment horizontal="center" vertical="top" wrapText="1"/>
    </xf>
    <xf numFmtId="49" fontId="8" fillId="15" borderId="6" xfId="0" applyFont="1" applyFill="1" applyBorder="1" applyAlignment="1">
      <alignment horizontal="center" vertical="center" wrapText="1"/>
    </xf>
    <xf numFmtId="49" fontId="33" fillId="13" borderId="43" xfId="0" applyFont="1" applyFill="1" applyBorder="1" applyAlignment="1">
      <alignment horizontal="left" vertical="center" indent="1"/>
    </xf>
    <xf numFmtId="49" fontId="8" fillId="11" borderId="4" xfId="0" applyFont="1" applyFill="1" applyBorder="1" applyAlignment="1">
      <alignment horizontal="center" vertical="center" wrapText="1"/>
    </xf>
    <xf numFmtId="49" fontId="8" fillId="11" borderId="50" xfId="0" applyFont="1" applyFill="1" applyBorder="1" applyAlignment="1">
      <alignment horizontal="center" vertical="center" wrapText="1"/>
    </xf>
    <xf numFmtId="3" fontId="8" fillId="14" borderId="4" xfId="0" applyNumberFormat="1" applyFont="1" applyFill="1" applyBorder="1" applyAlignment="1" applyProtection="1">
      <alignment horizontal="center" vertical="center" wrapText="1"/>
      <protection locked="0"/>
    </xf>
    <xf numFmtId="49" fontId="113" fillId="11" borderId="4" xfId="0" applyFont="1" applyFill="1" applyBorder="1" applyAlignment="1">
      <alignment horizontal="left" vertical="center" wrapText="1"/>
    </xf>
    <xf numFmtId="49" fontId="8" fillId="15" borderId="5" xfId="0" applyFont="1" applyFill="1" applyBorder="1" applyAlignment="1">
      <alignment horizontal="left" vertical="center" wrapText="1"/>
    </xf>
    <xf numFmtId="49" fontId="8" fillId="15" borderId="4" xfId="0" applyFont="1" applyFill="1" applyBorder="1" applyAlignment="1">
      <alignment horizontal="left" vertical="center" wrapText="1"/>
    </xf>
    <xf numFmtId="49" fontId="8" fillId="14" borderId="4" xfId="0" applyFont="1" applyFill="1" applyBorder="1" applyAlignment="1" applyProtection="1">
      <alignment horizontal="left" vertical="center" wrapText="1"/>
      <protection locked="0"/>
    </xf>
    <xf numFmtId="49" fontId="96" fillId="0" borderId="5" xfId="0" applyFont="1" applyBorder="1" applyAlignment="1">
      <alignment horizontal="center" vertical="center" wrapText="1"/>
    </xf>
    <xf numFmtId="0" fontId="8" fillId="15" borderId="9" xfId="0" applyNumberFormat="1" applyFont="1" applyFill="1" applyBorder="1" applyAlignment="1">
      <alignment horizontal="left" vertical="center" wrapText="1"/>
    </xf>
    <xf numFmtId="0" fontId="8" fillId="15" borderId="28" xfId="0" applyNumberFormat="1" applyFont="1" applyFill="1" applyBorder="1" applyAlignment="1">
      <alignment horizontal="left" vertical="center" wrapText="1"/>
    </xf>
    <xf numFmtId="49" fontId="8" fillId="15" borderId="9" xfId="0" applyFont="1" applyFill="1" applyBorder="1" applyAlignment="1">
      <alignment horizontal="left" vertical="center" wrapText="1"/>
    </xf>
    <xf numFmtId="49" fontId="8" fillId="15" borderId="15" xfId="0" applyFont="1" applyFill="1" applyBorder="1" applyAlignment="1">
      <alignment horizontal="left" vertical="center" wrapText="1"/>
    </xf>
    <xf numFmtId="49" fontId="8" fillId="0" borderId="28" xfId="0" applyFont="1" applyBorder="1" applyAlignment="1">
      <alignment horizontal="center" vertical="center"/>
    </xf>
    <xf numFmtId="0" fontId="8" fillId="0" borderId="16" xfId="0" applyNumberFormat="1" applyFont="1" applyBorder="1" applyAlignment="1">
      <alignment horizontal="center" vertical="center"/>
    </xf>
    <xf numFmtId="49" fontId="8" fillId="6" borderId="9" xfId="0" applyFont="1" applyFill="1" applyBorder="1" applyAlignment="1" applyProtection="1">
      <alignment horizontal="left" vertical="center" wrapText="1"/>
      <protection locked="0"/>
    </xf>
    <xf numFmtId="0" fontId="33" fillId="13" borderId="7" xfId="0" applyNumberFormat="1" applyFont="1" applyFill="1" applyBorder="1" applyAlignment="1">
      <alignment horizontal="left" vertical="center"/>
    </xf>
    <xf numFmtId="0" fontId="33" fillId="13" borderId="5" xfId="0" applyNumberFormat="1" applyFont="1" applyFill="1" applyBorder="1" applyAlignment="1">
      <alignment horizontal="left" vertical="center"/>
    </xf>
    <xf numFmtId="0" fontId="33" fillId="13" borderId="11" xfId="0" applyNumberFormat="1" applyFont="1" applyFill="1" applyBorder="1" applyAlignment="1">
      <alignment horizontal="left" vertical="center"/>
    </xf>
    <xf numFmtId="0" fontId="33" fillId="13" borderId="12" xfId="0" applyNumberFormat="1" applyFont="1" applyFill="1" applyBorder="1" applyAlignment="1">
      <alignment horizontal="left" vertical="center"/>
    </xf>
    <xf numFmtId="49" fontId="8" fillId="14" borderId="9" xfId="0" applyFont="1" applyFill="1" applyBorder="1" applyAlignment="1" applyProtection="1">
      <alignment horizontal="left" vertical="center" wrapText="1"/>
      <protection locked="0"/>
    </xf>
    <xf numFmtId="49" fontId="40" fillId="0" borderId="4" xfId="0" applyFont="1" applyBorder="1" applyAlignment="1">
      <alignment horizontal="center" vertical="center" wrapText="1"/>
    </xf>
    <xf numFmtId="0" fontId="8" fillId="9" borderId="4" xfId="0" applyNumberFormat="1" applyFont="1" applyFill="1" applyBorder="1" applyAlignment="1">
      <alignment horizontal="center" vertical="center"/>
    </xf>
    <xf numFmtId="0" fontId="8" fillId="15" borderId="6" xfId="0" applyNumberFormat="1" applyFont="1" applyFill="1" applyBorder="1" applyAlignment="1">
      <alignment horizontal="left" vertical="center" wrapText="1"/>
    </xf>
    <xf numFmtId="0" fontId="8" fillId="15" borderId="7" xfId="0" applyNumberFormat="1" applyFont="1" applyFill="1" applyBorder="1" applyAlignment="1">
      <alignment horizontal="left" vertical="center" wrapText="1"/>
    </xf>
    <xf numFmtId="0" fontId="8" fillId="15" borderId="5" xfId="0" applyNumberFormat="1" applyFont="1" applyFill="1" applyBorder="1" applyAlignment="1">
      <alignment horizontal="left" vertical="center" wrapText="1"/>
    </xf>
    <xf numFmtId="0" fontId="0" fillId="9" borderId="4" xfId="33" applyFont="1" applyFill="1" applyBorder="1" applyAlignment="1">
      <alignment horizontal="right" vertical="center" wrapText="1" indent="1"/>
    </xf>
    <xf numFmtId="0" fontId="8" fillId="11" borderId="4" xfId="0" applyNumberFormat="1" applyFont="1" applyFill="1" applyBorder="1" applyAlignment="1">
      <alignment horizontal="left" vertical="center" wrapText="1" indent="1"/>
    </xf>
    <xf numFmtId="4" fontId="113" fillId="11" borderId="6" xfId="0" applyNumberFormat="1" applyFont="1" applyFill="1" applyBorder="1" applyAlignment="1">
      <alignment horizontal="left" vertical="center" wrapText="1"/>
    </xf>
    <xf numFmtId="4" fontId="113" fillId="11" borderId="7" xfId="0" applyNumberFormat="1" applyFont="1" applyFill="1" applyBorder="1" applyAlignment="1">
      <alignment horizontal="left" vertical="center" wrapText="1"/>
    </xf>
    <xf numFmtId="4" fontId="113" fillId="11" borderId="5" xfId="0" applyNumberFormat="1" applyFont="1" applyFill="1" applyBorder="1" applyAlignment="1">
      <alignment horizontal="left" vertical="center" wrapText="1"/>
    </xf>
    <xf numFmtId="49" fontId="39" fillId="0" borderId="4" xfId="0" applyFont="1" applyBorder="1" applyAlignment="1">
      <alignment horizontal="center" vertical="center" wrapText="1"/>
    </xf>
    <xf numFmtId="170" fontId="39" fillId="0" borderId="4" xfId="0" applyNumberFormat="1" applyFont="1" applyBorder="1" applyAlignment="1">
      <alignment horizontal="center" vertical="center" wrapText="1"/>
    </xf>
    <xf numFmtId="0" fontId="8" fillId="0" borderId="0" xfId="0" applyNumberFormat="1" applyFont="1" applyAlignment="1">
      <alignment horizontal="left" vertical="top" wrapText="1"/>
    </xf>
    <xf numFmtId="0" fontId="39" fillId="0" borderId="4" xfId="0" applyNumberFormat="1" applyFont="1" applyBorder="1" applyAlignment="1">
      <alignment horizontal="center" vertical="center"/>
    </xf>
    <xf numFmtId="0" fontId="39" fillId="0" borderId="6" xfId="0" applyNumberFormat="1" applyFont="1" applyBorder="1" applyAlignment="1">
      <alignment horizontal="center" vertical="center"/>
    </xf>
    <xf numFmtId="0" fontId="39" fillId="0" borderId="4" xfId="0" applyNumberFormat="1" applyFont="1" applyBorder="1" applyAlignment="1">
      <alignment horizontal="center" vertical="center" wrapText="1"/>
    </xf>
    <xf numFmtId="0" fontId="39" fillId="0" borderId="6" xfId="0" applyNumberFormat="1" applyFont="1" applyBorder="1" applyAlignment="1">
      <alignment horizontal="center" vertical="center" wrapText="1"/>
    </xf>
    <xf numFmtId="170" fontId="0" fillId="14" borderId="4" xfId="0" applyNumberFormat="1" applyFill="1" applyBorder="1" applyAlignment="1" applyProtection="1">
      <alignment horizontal="center" vertical="center" wrapText="1"/>
      <protection locked="0"/>
    </xf>
    <xf numFmtId="49" fontId="0" fillId="14" borderId="4" xfId="0" applyFill="1" applyBorder="1" applyAlignment="1" applyProtection="1">
      <alignment horizontal="center" vertical="center" wrapText="1"/>
      <protection locked="0"/>
    </xf>
    <xf numFmtId="170" fontId="0" fillId="14" borderId="9" xfId="0" applyNumberFormat="1" applyFill="1" applyBorder="1" applyAlignment="1" applyProtection="1">
      <alignment horizontal="center" vertical="center" wrapText="1"/>
      <protection locked="0"/>
    </xf>
    <xf numFmtId="49" fontId="0" fillId="14" borderId="15" xfId="0" applyFill="1" applyBorder="1" applyAlignment="1" applyProtection="1">
      <alignment horizontal="center" vertical="center" wrapText="1"/>
      <protection locked="0"/>
    </xf>
    <xf numFmtId="0" fontId="39" fillId="0" borderId="9" xfId="0" applyNumberFormat="1" applyFont="1" applyBorder="1" applyAlignment="1">
      <alignment horizontal="center" vertical="center" wrapText="1"/>
    </xf>
    <xf numFmtId="0" fontId="39" fillId="0" borderId="15" xfId="0" applyNumberFormat="1" applyFont="1" applyBorder="1" applyAlignment="1">
      <alignment horizontal="center" vertical="center" wrapText="1"/>
    </xf>
    <xf numFmtId="0" fontId="70" fillId="9" borderId="11" xfId="0" applyNumberFormat="1" applyFont="1" applyFill="1" applyBorder="1" applyAlignment="1">
      <alignment horizontal="center" vertical="center" wrapText="1"/>
    </xf>
    <xf numFmtId="0" fontId="30" fillId="0" borderId="20" xfId="0" applyNumberFormat="1" applyFont="1" applyBorder="1" applyAlignment="1">
      <alignment horizontal="center" vertical="center" wrapText="1"/>
    </xf>
    <xf numFmtId="0" fontId="8" fillId="9" borderId="4" xfId="0" applyNumberFormat="1" applyFont="1" applyFill="1" applyBorder="1" applyAlignment="1">
      <alignment horizontal="left" vertical="center" wrapText="1"/>
    </xf>
    <xf numFmtId="0" fontId="0" fillId="9" borderId="6" xfId="0" applyNumberFormat="1" applyFill="1" applyBorder="1" applyAlignment="1">
      <alignment horizontal="center" vertical="center" wrapText="1"/>
    </xf>
    <xf numFmtId="0" fontId="0" fillId="9" borderId="7" xfId="0" applyNumberFormat="1" applyFill="1" applyBorder="1" applyAlignment="1">
      <alignment horizontal="center" vertical="center" wrapText="1"/>
    </xf>
    <xf numFmtId="0" fontId="0" fillId="9" borderId="5" xfId="0" applyNumberFormat="1" applyFill="1" applyBorder="1" applyAlignment="1">
      <alignment horizontal="center" vertical="center" wrapText="1"/>
    </xf>
    <xf numFmtId="0" fontId="8" fillId="9" borderId="9" xfId="0" applyNumberFormat="1" applyFont="1" applyFill="1" applyBorder="1" applyAlignment="1">
      <alignment horizontal="center" vertical="center" wrapText="1"/>
    </xf>
    <xf numFmtId="0" fontId="8" fillId="9" borderId="28" xfId="0" applyNumberFormat="1" applyFont="1" applyFill="1" applyBorder="1" applyAlignment="1">
      <alignment horizontal="center" vertical="center" wrapText="1"/>
    </xf>
    <xf numFmtId="0" fontId="8" fillId="9" borderId="15" xfId="0" applyNumberFormat="1" applyFont="1" applyFill="1" applyBorder="1" applyAlignment="1">
      <alignment horizontal="center" vertical="center" wrapText="1"/>
    </xf>
    <xf numFmtId="49" fontId="33" fillId="13" borderId="9" xfId="0" applyFont="1" applyFill="1" applyBorder="1" applyAlignment="1">
      <alignment horizontal="center" vertical="center" textRotation="90" wrapText="1"/>
    </xf>
    <xf numFmtId="49" fontId="33" fillId="13" borderId="28" xfId="0" applyFont="1" applyFill="1" applyBorder="1" applyAlignment="1">
      <alignment horizontal="center" vertical="center" textRotation="90" wrapText="1"/>
    </xf>
    <xf numFmtId="49" fontId="33" fillId="13" borderId="15" xfId="0" applyFont="1" applyFill="1" applyBorder="1" applyAlignment="1">
      <alignment horizontal="center" vertical="center" textRotation="90" wrapText="1"/>
    </xf>
    <xf numFmtId="0" fontId="38" fillId="0" borderId="9" xfId="0" applyNumberFormat="1" applyFont="1" applyBorder="1" applyAlignment="1">
      <alignment horizontal="left" vertical="top" wrapText="1"/>
    </xf>
    <xf numFmtId="0" fontId="38" fillId="0" borderId="28" xfId="0" applyNumberFormat="1" applyFont="1" applyBorder="1" applyAlignment="1">
      <alignment horizontal="left" vertical="top" wrapText="1"/>
    </xf>
    <xf numFmtId="0" fontId="38" fillId="0" borderId="15" xfId="0" applyNumberFormat="1" applyFont="1" applyBorder="1" applyAlignment="1">
      <alignment horizontal="left" vertical="top" wrapText="1"/>
    </xf>
    <xf numFmtId="0" fontId="40" fillId="0" borderId="9" xfId="0" applyNumberFormat="1" applyFont="1" applyBorder="1" applyAlignment="1">
      <alignment horizontal="center" vertical="center" wrapText="1"/>
    </xf>
    <xf numFmtId="0" fontId="40" fillId="0" borderId="15" xfId="0" applyNumberFormat="1" applyFont="1" applyBorder="1" applyAlignment="1">
      <alignment horizontal="center" vertical="center" wrapText="1"/>
    </xf>
    <xf numFmtId="0" fontId="0" fillId="9" borderId="11" xfId="0" applyNumberFormat="1" applyFill="1" applyBorder="1" applyAlignment="1">
      <alignment horizontal="center" vertical="center" wrapText="1"/>
    </xf>
    <xf numFmtId="0" fontId="40" fillId="0" borderId="6" xfId="0" applyNumberFormat="1" applyFont="1" applyBorder="1" applyAlignment="1">
      <alignment horizontal="left" vertical="center" wrapText="1"/>
    </xf>
    <xf numFmtId="0" fontId="40" fillId="0" borderId="7" xfId="0" applyNumberFormat="1" applyFont="1" applyBorder="1" applyAlignment="1">
      <alignment horizontal="left" vertical="center" wrapText="1"/>
    </xf>
    <xf numFmtId="0" fontId="40" fillId="0" borderId="5" xfId="0" applyNumberFormat="1" applyFont="1" applyBorder="1" applyAlignment="1">
      <alignment horizontal="left" vertical="center" wrapText="1"/>
    </xf>
    <xf numFmtId="0" fontId="0" fillId="0" borderId="28" xfId="0" applyNumberFormat="1" applyBorder="1" applyAlignment="1">
      <alignment horizontal="center" vertical="center" wrapText="1"/>
    </xf>
    <xf numFmtId="0" fontId="8" fillId="0" borderId="11" xfId="0" applyNumberFormat="1" applyFont="1" applyBorder="1" applyAlignment="1">
      <alignment horizontal="center" vertical="center" wrapText="1"/>
    </xf>
    <xf numFmtId="0" fontId="8" fillId="0" borderId="20" xfId="0" applyNumberFormat="1" applyFont="1" applyBorder="1" applyAlignment="1">
      <alignment horizontal="center" vertical="center" wrapText="1"/>
    </xf>
    <xf numFmtId="0" fontId="8" fillId="0" borderId="4" xfId="0" applyNumberFormat="1" applyFont="1" applyBorder="1" applyAlignment="1">
      <alignment horizontal="center" vertical="center"/>
    </xf>
    <xf numFmtId="0" fontId="8" fillId="0" borderId="6" xfId="0" applyNumberFormat="1" applyFont="1" applyBorder="1" applyAlignment="1">
      <alignment horizontal="center" vertical="center"/>
    </xf>
    <xf numFmtId="0" fontId="8" fillId="15" borderId="12" xfId="0" applyNumberFormat="1" applyFont="1" applyFill="1" applyBorder="1" applyAlignment="1">
      <alignment horizontal="left" vertical="center" wrapText="1"/>
    </xf>
    <xf numFmtId="49" fontId="8" fillId="0" borderId="4" xfId="0" applyFont="1" applyBorder="1" applyAlignment="1">
      <alignment horizontal="left" vertical="center" wrapText="1" indent="1"/>
    </xf>
    <xf numFmtId="0" fontId="0" fillId="9" borderId="29" xfId="0" applyNumberFormat="1" applyFill="1" applyBorder="1" applyAlignment="1">
      <alignment horizontal="center" vertical="center" wrapText="1"/>
    </xf>
    <xf numFmtId="0" fontId="0" fillId="9" borderId="12" xfId="0" applyNumberFormat="1" applyFill="1" applyBorder="1" applyAlignment="1">
      <alignment horizontal="center" vertical="center" wrapText="1"/>
    </xf>
    <xf numFmtId="0" fontId="0" fillId="9" borderId="14" xfId="0" applyNumberFormat="1" applyFill="1" applyBorder="1" applyAlignment="1">
      <alignment horizontal="center" vertical="center" wrapText="1"/>
    </xf>
    <xf numFmtId="0" fontId="0" fillId="9" borderId="0" xfId="0" applyNumberFormat="1" applyFill="1" applyAlignment="1">
      <alignment horizontal="center" vertical="center" wrapText="1"/>
    </xf>
    <xf numFmtId="0" fontId="0" fillId="9" borderId="16" xfId="0" applyNumberFormat="1" applyFill="1" applyBorder="1" applyAlignment="1">
      <alignment horizontal="center" vertical="center" wrapText="1"/>
    </xf>
    <xf numFmtId="0" fontId="0" fillId="9" borderId="19" xfId="0" applyNumberFormat="1" applyFill="1" applyBorder="1" applyAlignment="1">
      <alignment horizontal="center" vertical="center" wrapText="1"/>
    </xf>
    <xf numFmtId="0" fontId="0" fillId="9" borderId="20" xfId="0" applyNumberFormat="1" applyFill="1" applyBorder="1" applyAlignment="1">
      <alignment horizontal="center" vertical="center" wrapText="1"/>
    </xf>
    <xf numFmtId="0" fontId="0" fillId="9" borderId="22" xfId="0" applyNumberFormat="1" applyFill="1" applyBorder="1" applyAlignment="1">
      <alignment horizontal="center" vertical="center" wrapText="1"/>
    </xf>
    <xf numFmtId="49" fontId="8" fillId="9" borderId="4" xfId="0" applyFont="1" applyFill="1" applyBorder="1" applyAlignment="1">
      <alignment horizontal="center" vertical="center" wrapText="1"/>
    </xf>
    <xf numFmtId="0" fontId="30" fillId="0" borderId="4" xfId="0" applyNumberFormat="1" applyFont="1" applyBorder="1" applyAlignment="1">
      <alignment horizontal="center" vertical="center" wrapText="1"/>
    </xf>
    <xf numFmtId="49" fontId="8" fillId="14" borderId="9" xfId="0" applyFont="1" applyFill="1" applyBorder="1" applyAlignment="1" applyProtection="1">
      <alignment horizontal="left" vertical="center" wrapText="1" indent="6"/>
      <protection locked="0"/>
    </xf>
    <xf numFmtId="49" fontId="8" fillId="14" borderId="28" xfId="0" applyFont="1" applyFill="1" applyBorder="1" applyAlignment="1" applyProtection="1">
      <alignment horizontal="left" vertical="center" wrapText="1" indent="6"/>
      <protection locked="0"/>
    </xf>
    <xf numFmtId="49" fontId="8" fillId="14" borderId="15" xfId="0" applyFont="1" applyFill="1" applyBorder="1" applyAlignment="1" applyProtection="1">
      <alignment horizontal="left" vertical="center" wrapText="1" indent="6"/>
      <protection locked="0"/>
    </xf>
    <xf numFmtId="0" fontId="8" fillId="9" borderId="9" xfId="0" applyNumberFormat="1" applyFont="1" applyFill="1" applyBorder="1" applyAlignment="1">
      <alignment horizontal="left" vertical="center" wrapText="1"/>
    </xf>
    <xf numFmtId="0" fontId="8" fillId="9" borderId="28" xfId="0" applyNumberFormat="1" applyFont="1" applyFill="1" applyBorder="1" applyAlignment="1">
      <alignment horizontal="left" vertical="center" wrapText="1"/>
    </xf>
    <xf numFmtId="0" fontId="8" fillId="9" borderId="15" xfId="0" applyNumberFormat="1" applyFont="1" applyFill="1" applyBorder="1" applyAlignment="1">
      <alignment horizontal="left" vertical="center" wrapText="1"/>
    </xf>
    <xf numFmtId="0" fontId="40" fillId="0" borderId="16" xfId="0" applyNumberFormat="1" applyFont="1" applyBorder="1" applyAlignment="1">
      <alignment horizontal="center" vertical="top" wrapText="1"/>
    </xf>
    <xf numFmtId="49" fontId="8" fillId="15" borderId="4" xfId="0" applyFont="1" applyFill="1" applyBorder="1" applyAlignment="1">
      <alignment horizontal="left" vertical="center" wrapText="1" indent="1"/>
    </xf>
    <xf numFmtId="4" fontId="113" fillId="11" borderId="4" xfId="0" applyNumberFormat="1" applyFont="1" applyFill="1" applyBorder="1" applyAlignment="1">
      <alignment horizontal="left" vertical="center" wrapText="1"/>
    </xf>
    <xf numFmtId="0" fontId="8" fillId="15" borderId="4" xfId="0" applyNumberFormat="1" applyFont="1" applyFill="1" applyBorder="1" applyAlignment="1" applyProtection="1">
      <alignment horizontal="left" vertical="center" wrapText="1"/>
      <protection locked="0"/>
    </xf>
    <xf numFmtId="0" fontId="8" fillId="15" borderId="6" xfId="0" applyNumberFormat="1" applyFont="1" applyFill="1" applyBorder="1" applyAlignment="1" applyProtection="1">
      <alignment horizontal="left" vertical="center" wrapText="1"/>
      <protection locked="0"/>
    </xf>
    <xf numFmtId="0" fontId="8" fillId="15" borderId="7" xfId="0" applyNumberFormat="1" applyFont="1" applyFill="1" applyBorder="1" applyAlignment="1" applyProtection="1">
      <alignment horizontal="left" vertical="center" wrapText="1"/>
      <protection locked="0"/>
    </xf>
    <xf numFmtId="0" fontId="8" fillId="15" borderId="5" xfId="0" applyNumberFormat="1" applyFont="1" applyFill="1" applyBorder="1" applyAlignment="1" applyProtection="1">
      <alignment horizontal="left" vertical="center" wrapText="1"/>
      <protection locked="0"/>
    </xf>
    <xf numFmtId="0" fontId="8" fillId="0" borderId="0" xfId="0" applyNumberFormat="1" applyFont="1" applyAlignment="1">
      <alignment horizontal="right" vertical="center" wrapText="1"/>
    </xf>
    <xf numFmtId="0" fontId="29" fillId="9" borderId="0" xfId="0" applyNumberFormat="1" applyFont="1" applyFill="1" applyAlignment="1">
      <alignment horizontal="center" vertical="center" wrapText="1"/>
    </xf>
    <xf numFmtId="0" fontId="8" fillId="11" borderId="4"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33" fillId="13" borderId="4" xfId="0" applyFont="1" applyFill="1" applyBorder="1" applyAlignment="1">
      <alignment horizontal="center" vertical="center" textRotation="90" wrapText="1"/>
    </xf>
    <xf numFmtId="0" fontId="7" fillId="0" borderId="7" xfId="0" applyNumberFormat="1" applyFont="1" applyBorder="1" applyAlignment="1">
      <alignment horizontal="left" vertical="center" wrapText="1" indent="1"/>
    </xf>
    <xf numFmtId="0" fontId="8" fillId="11" borderId="6" xfId="0" applyNumberFormat="1" applyFont="1" applyFill="1" applyBorder="1" applyAlignment="1">
      <alignment horizontal="left" vertical="center" wrapText="1" indent="1"/>
    </xf>
    <xf numFmtId="0" fontId="8" fillId="11" borderId="7" xfId="0" applyNumberFormat="1" applyFont="1" applyFill="1" applyBorder="1" applyAlignment="1">
      <alignment horizontal="left" vertical="center" wrapText="1" indent="1"/>
    </xf>
    <xf numFmtId="0" fontId="8" fillId="11" borderId="5" xfId="0" applyNumberFormat="1" applyFont="1" applyFill="1" applyBorder="1" applyAlignment="1">
      <alignment horizontal="left" vertical="center" wrapText="1" indent="1"/>
    </xf>
    <xf numFmtId="0" fontId="0" fillId="0" borderId="4" xfId="0" applyNumberFormat="1" applyBorder="1" applyAlignment="1">
      <alignment horizontal="left" vertical="center" wrapText="1"/>
    </xf>
    <xf numFmtId="0" fontId="0" fillId="0" borderId="4" xfId="0" applyNumberFormat="1" applyBorder="1" applyAlignment="1">
      <alignment horizontal="left" vertical="center" wrapText="1" indent="1"/>
    </xf>
    <xf numFmtId="0" fontId="8" fillId="11" borderId="6" xfId="0" applyNumberFormat="1" applyFont="1" applyFill="1" applyBorder="1" applyAlignment="1">
      <alignment horizontal="left" vertical="top" wrapText="1" indent="1"/>
    </xf>
    <xf numFmtId="0" fontId="8" fillId="11" borderId="5" xfId="0" applyNumberFormat="1" applyFont="1" applyFill="1" applyBorder="1" applyAlignment="1">
      <alignment horizontal="left" vertical="top" wrapText="1" indent="1"/>
    </xf>
    <xf numFmtId="0" fontId="8" fillId="0" borderId="7" xfId="0" applyNumberFormat="1" applyFont="1" applyBorder="1" applyAlignment="1">
      <alignment horizontal="right" vertical="center" wrapText="1" indent="1"/>
    </xf>
    <xf numFmtId="0" fontId="8" fillId="0" borderId="5" xfId="0" applyNumberFormat="1" applyFont="1" applyBorder="1" applyAlignment="1">
      <alignment horizontal="right" vertical="center" wrapText="1" indent="1"/>
    </xf>
    <xf numFmtId="0" fontId="8" fillId="0" borderId="6" xfId="0" applyNumberFormat="1" applyFont="1" applyBorder="1" applyAlignment="1">
      <alignment horizontal="right" vertical="center" wrapText="1"/>
    </xf>
    <xf numFmtId="0" fontId="8" fillId="0" borderId="7" xfId="0" applyNumberFormat="1" applyFont="1" applyBorder="1" applyAlignment="1">
      <alignment horizontal="right" vertical="center" wrapText="1"/>
    </xf>
    <xf numFmtId="0" fontId="8" fillId="0" borderId="11" xfId="0" applyNumberFormat="1" applyFont="1" applyBorder="1" applyAlignment="1">
      <alignment horizontal="left" vertical="center" wrapText="1" indent="1"/>
    </xf>
    <xf numFmtId="49" fontId="8" fillId="0" borderId="0" xfId="0" applyFont="1" applyAlignment="1">
      <alignment vertical="center" wrapText="1"/>
    </xf>
    <xf numFmtId="0" fontId="30" fillId="0" borderId="16" xfId="0" applyNumberFormat="1" applyFont="1" applyBorder="1" applyAlignment="1">
      <alignment horizontal="center" vertical="center" wrapText="1"/>
    </xf>
    <xf numFmtId="0" fontId="8" fillId="9" borderId="6" xfId="0" applyNumberFormat="1" applyFont="1" applyFill="1" applyBorder="1" applyAlignment="1">
      <alignment horizontal="center" vertical="center" wrapText="1"/>
    </xf>
    <xf numFmtId="0" fontId="8" fillId="9" borderId="7" xfId="0" applyNumberFormat="1" applyFont="1" applyFill="1" applyBorder="1" applyAlignment="1">
      <alignment horizontal="center" vertical="center" wrapText="1"/>
    </xf>
    <xf numFmtId="0" fontId="8" fillId="9" borderId="5" xfId="0" applyNumberFormat="1" applyFont="1" applyFill="1" applyBorder="1" applyAlignment="1">
      <alignment horizontal="center" vertical="center" wrapText="1"/>
    </xf>
    <xf numFmtId="49" fontId="29" fillId="9" borderId="7" xfId="0" applyFont="1" applyFill="1" applyBorder="1" applyAlignment="1">
      <alignment horizontal="center" vertical="center" wrapText="1"/>
    </xf>
    <xf numFmtId="0" fontId="0" fillId="0" borderId="28" xfId="0" applyNumberFormat="1" applyBorder="1" applyAlignment="1">
      <alignment horizontal="left" vertical="center" wrapText="1"/>
    </xf>
    <xf numFmtId="0" fontId="0" fillId="0" borderId="15" xfId="0" applyNumberFormat="1" applyBorder="1" applyAlignment="1">
      <alignment horizontal="left" vertical="center" wrapText="1"/>
    </xf>
    <xf numFmtId="0" fontId="32" fillId="9" borderId="16" xfId="0" applyNumberFormat="1" applyFont="1" applyFill="1" applyBorder="1" applyAlignment="1">
      <alignment horizontal="center" vertical="top" wrapText="1"/>
    </xf>
    <xf numFmtId="49" fontId="0" fillId="9" borderId="4" xfId="0" applyFill="1" applyBorder="1" applyAlignment="1">
      <alignment horizontal="center" vertical="center" wrapText="1"/>
    </xf>
    <xf numFmtId="0" fontId="116" fillId="11" borderId="4" xfId="0" applyNumberFormat="1" applyFont="1" applyFill="1" applyBorder="1" applyAlignment="1">
      <alignment horizontal="left" vertical="center" wrapText="1" indent="1"/>
    </xf>
    <xf numFmtId="49" fontId="0" fillId="9" borderId="9" xfId="0" applyFill="1" applyBorder="1" applyAlignment="1">
      <alignment horizontal="center" vertical="center" wrapText="1"/>
    </xf>
    <xf numFmtId="49" fontId="0" fillId="9" borderId="15" xfId="0" applyFill="1" applyBorder="1" applyAlignment="1">
      <alignment horizontal="center" vertical="center" wrapText="1"/>
    </xf>
    <xf numFmtId="0" fontId="8" fillId="6" borderId="6" xfId="0" applyNumberFormat="1" applyFont="1" applyFill="1" applyBorder="1" applyAlignment="1" applyProtection="1">
      <alignment horizontal="left" vertical="center" wrapText="1"/>
      <protection locked="0"/>
    </xf>
    <xf numFmtId="0" fontId="8" fillId="6" borderId="7" xfId="0" applyNumberFormat="1" applyFont="1" applyFill="1" applyBorder="1" applyAlignment="1" applyProtection="1">
      <alignment horizontal="left" vertical="center" wrapText="1"/>
      <protection locked="0"/>
    </xf>
    <xf numFmtId="0" fontId="8" fillId="6" borderId="5" xfId="0" applyNumberFormat="1" applyFont="1" applyFill="1" applyBorder="1" applyAlignment="1" applyProtection="1">
      <alignment horizontal="left" vertical="center" wrapText="1"/>
      <protection locked="0"/>
    </xf>
    <xf numFmtId="49" fontId="8" fillId="6" borderId="6" xfId="0" applyFont="1" applyFill="1" applyBorder="1" applyAlignment="1" applyProtection="1">
      <alignment horizontal="left" vertical="center" wrapText="1"/>
      <protection locked="0"/>
    </xf>
    <xf numFmtId="49" fontId="8" fillId="6" borderId="7" xfId="0" applyFont="1" applyFill="1" applyBorder="1" applyAlignment="1" applyProtection="1">
      <alignment horizontal="left" vertical="center" wrapText="1"/>
      <protection locked="0"/>
    </xf>
    <xf numFmtId="49" fontId="8" fillId="6" borderId="5" xfId="0" applyFont="1" applyFill="1" applyBorder="1" applyAlignment="1" applyProtection="1">
      <alignment horizontal="left" vertical="center" wrapText="1"/>
      <protection locked="0"/>
    </xf>
    <xf numFmtId="0" fontId="38" fillId="0" borderId="4" xfId="0" applyNumberFormat="1" applyFont="1" applyBorder="1" applyAlignment="1">
      <alignment horizontal="left" vertical="top" wrapText="1"/>
    </xf>
    <xf numFmtId="49" fontId="8" fillId="15" borderId="4" xfId="0" applyFont="1" applyFill="1" applyBorder="1" applyAlignment="1" applyProtection="1">
      <alignment horizontal="left" vertical="center" wrapText="1" indent="1"/>
      <protection locked="0"/>
    </xf>
    <xf numFmtId="4" fontId="8" fillId="14" borderId="4" xfId="0" applyNumberFormat="1" applyFont="1" applyFill="1" applyBorder="1" applyAlignment="1" applyProtection="1">
      <alignment horizontal="left" vertical="center" wrapText="1" indent="1"/>
      <protection locked="0"/>
    </xf>
    <xf numFmtId="49" fontId="8" fillId="6" borderId="9" xfId="0" applyFont="1" applyFill="1" applyBorder="1" applyAlignment="1" applyProtection="1">
      <alignment horizontal="left" vertical="center" wrapText="1" indent="6"/>
      <protection locked="0"/>
    </xf>
    <xf numFmtId="49" fontId="8" fillId="6" borderId="28" xfId="0" applyFont="1" applyFill="1" applyBorder="1" applyAlignment="1" applyProtection="1">
      <alignment horizontal="left" vertical="center" wrapText="1" indent="6"/>
      <protection locked="0"/>
    </xf>
    <xf numFmtId="49" fontId="8" fillId="6" borderId="15" xfId="0" applyFont="1" applyFill="1" applyBorder="1" applyAlignment="1" applyProtection="1">
      <alignment horizontal="left" vertical="center" wrapText="1" indent="6"/>
      <protection locked="0"/>
    </xf>
    <xf numFmtId="4" fontId="8" fillId="14" borderId="4" xfId="0" applyNumberFormat="1" applyFont="1" applyFill="1" applyBorder="1" applyAlignment="1" applyProtection="1">
      <alignment horizontal="center" vertical="center" wrapText="1"/>
      <protection locked="0"/>
    </xf>
    <xf numFmtId="49" fontId="8" fillId="15" borderId="12" xfId="0" applyFont="1" applyFill="1" applyBorder="1" applyAlignment="1">
      <alignment horizontal="center" vertical="center" wrapText="1"/>
    </xf>
    <xf numFmtId="49" fontId="8" fillId="15" borderId="22" xfId="0" applyFont="1" applyFill="1" applyBorder="1" applyAlignment="1">
      <alignment horizontal="center" vertical="center" wrapText="1"/>
    </xf>
    <xf numFmtId="0" fontId="40" fillId="0" borderId="11" xfId="0" applyNumberFormat="1" applyFont="1" applyBorder="1" applyAlignment="1">
      <alignment horizontal="left" vertical="center" wrapText="1"/>
    </xf>
    <xf numFmtId="49" fontId="81" fillId="20" borderId="0" xfId="0" applyFont="1" applyFill="1" applyAlignment="1">
      <alignment horizontal="center" vertical="center" textRotation="90" wrapText="1"/>
    </xf>
    <xf numFmtId="0" fontId="63" fillId="0" borderId="0" xfId="0" applyNumberFormat="1" applyFont="1" applyAlignment="1">
      <alignment horizontal="center" vertical="center" wrapText="1"/>
    </xf>
    <xf numFmtId="49" fontId="40" fillId="0" borderId="9" xfId="0" applyFont="1" applyBorder="1" applyAlignment="1">
      <alignment horizontal="center" vertical="center" wrapText="1"/>
    </xf>
    <xf numFmtId="49" fontId="40" fillId="0" borderId="28" xfId="0" applyFont="1" applyBorder="1" applyAlignment="1">
      <alignment horizontal="center" vertical="center" wrapText="1"/>
    </xf>
    <xf numFmtId="49" fontId="40" fillId="0" borderId="15" xfId="0" applyFont="1" applyBorder="1" applyAlignment="1">
      <alignment horizontal="center" vertical="center" wrapText="1"/>
    </xf>
    <xf numFmtId="0" fontId="38" fillId="0" borderId="0" xfId="0" applyNumberFormat="1" applyFont="1" applyAlignment="1">
      <alignment horizontal="left" vertical="top" wrapText="1"/>
    </xf>
    <xf numFmtId="0" fontId="40" fillId="0" borderId="7" xfId="0" applyNumberFormat="1" applyFont="1" applyBorder="1" applyAlignment="1">
      <alignment horizontal="right" vertical="center" wrapText="1" indent="1"/>
    </xf>
    <xf numFmtId="0" fontId="40" fillId="0" borderId="5" xfId="0" applyNumberFormat="1" applyFont="1" applyBorder="1" applyAlignment="1">
      <alignment horizontal="right" vertical="center" wrapText="1" indent="1"/>
    </xf>
    <xf numFmtId="0" fontId="8" fillId="11" borderId="6" xfId="0" applyNumberFormat="1" applyFont="1" applyFill="1" applyBorder="1" applyAlignment="1">
      <alignment horizontal="left" vertical="top" wrapText="1"/>
    </xf>
    <xf numFmtId="0" fontId="8" fillId="11" borderId="5" xfId="0" applyNumberFormat="1" applyFont="1" applyFill="1" applyBorder="1" applyAlignment="1">
      <alignment horizontal="left" vertical="top" wrapText="1"/>
    </xf>
    <xf numFmtId="49" fontId="8" fillId="28" borderId="0" xfId="0" applyFont="1" applyFill="1" applyAlignment="1">
      <alignment horizontal="center" vertical="center" textRotation="90" wrapText="1"/>
    </xf>
    <xf numFmtId="49" fontId="0" fillId="0" borderId="4" xfId="0" applyBorder="1" applyAlignment="1">
      <alignment horizontal="center" vertical="center" wrapText="1"/>
    </xf>
    <xf numFmtId="49" fontId="8" fillId="0" borderId="6" xfId="0" applyFont="1" applyBorder="1" applyAlignment="1">
      <alignment horizontal="center" vertical="center" wrapText="1"/>
    </xf>
    <xf numFmtId="0" fontId="8" fillId="9" borderId="4" xfId="33" applyFill="1" applyBorder="1" applyAlignment="1">
      <alignment horizontal="center" vertical="center" wrapText="1"/>
    </xf>
    <xf numFmtId="49" fontId="8" fillId="0" borderId="4" xfId="0" applyFont="1" applyBorder="1" applyAlignment="1">
      <alignment horizontal="left" vertical="center" wrapText="1"/>
    </xf>
    <xf numFmtId="0" fontId="8" fillId="0" borderId="0" xfId="0" applyNumberFormat="1" applyFont="1" applyAlignment="1">
      <alignment horizontal="left" vertical="center" wrapText="1"/>
    </xf>
    <xf numFmtId="0" fontId="8" fillId="9" borderId="29" xfId="0" applyNumberFormat="1" applyFont="1" applyFill="1" applyBorder="1" applyAlignment="1">
      <alignment horizontal="center" vertical="center" wrapText="1"/>
    </xf>
    <xf numFmtId="0" fontId="8" fillId="9" borderId="12" xfId="0" applyNumberFormat="1" applyFont="1" applyFill="1" applyBorder="1" applyAlignment="1">
      <alignment horizontal="center" vertical="center" wrapText="1"/>
    </xf>
    <xf numFmtId="0" fontId="8" fillId="9" borderId="14" xfId="0" applyNumberFormat="1" applyFont="1" applyFill="1" applyBorder="1" applyAlignment="1">
      <alignment horizontal="center" vertical="center" wrapText="1"/>
    </xf>
    <xf numFmtId="0" fontId="8" fillId="9" borderId="19" xfId="0" applyNumberFormat="1" applyFont="1" applyFill="1" applyBorder="1" applyAlignment="1">
      <alignment horizontal="center" vertical="center" wrapText="1"/>
    </xf>
    <xf numFmtId="0" fontId="8" fillId="9" borderId="22" xfId="0" applyNumberFormat="1" applyFont="1" applyFill="1" applyBorder="1" applyAlignment="1">
      <alignment horizontal="center" vertical="center" wrapText="1"/>
    </xf>
    <xf numFmtId="0" fontId="8" fillId="0" borderId="54" xfId="0" applyNumberFormat="1" applyFont="1" applyBorder="1" applyAlignment="1">
      <alignment horizontal="center" vertical="center"/>
    </xf>
    <xf numFmtId="0" fontId="8" fillId="0" borderId="55" xfId="0" applyNumberFormat="1" applyFont="1" applyBorder="1" applyAlignment="1">
      <alignment horizontal="center" vertical="center"/>
    </xf>
    <xf numFmtId="0" fontId="8" fillId="0" borderId="61" xfId="0" applyNumberFormat="1" applyFont="1" applyBorder="1" applyAlignment="1">
      <alignment horizontal="center" vertical="center"/>
    </xf>
    <xf numFmtId="0" fontId="8" fillId="0" borderId="67" xfId="0" applyNumberFormat="1" applyFont="1" applyBorder="1" applyAlignment="1">
      <alignment horizontal="center" vertical="center"/>
    </xf>
    <xf numFmtId="0" fontId="8" fillId="0" borderId="35" xfId="0" applyNumberFormat="1" applyFont="1" applyBorder="1" applyAlignment="1">
      <alignment horizontal="center" vertical="center"/>
    </xf>
    <xf numFmtId="49" fontId="0" fillId="0" borderId="4" xfId="0" applyBorder="1" applyAlignment="1">
      <alignment vertical="center" wrapText="1"/>
    </xf>
    <xf numFmtId="49" fontId="0" fillId="0" borderId="4" xfId="0" applyBorder="1" applyAlignment="1">
      <alignment horizontal="left" vertical="center" wrapText="1"/>
    </xf>
    <xf numFmtId="49" fontId="0" fillId="0" borderId="9" xfId="0" applyBorder="1" applyAlignment="1">
      <alignment horizontal="center" vertical="center" wrapText="1"/>
    </xf>
    <xf numFmtId="49" fontId="0" fillId="0" borderId="28" xfId="0" applyBorder="1" applyAlignment="1">
      <alignment horizontal="center" vertical="center" wrapText="1"/>
    </xf>
    <xf numFmtId="49" fontId="0" fillId="0" borderId="15" xfId="0" applyBorder="1" applyAlignment="1">
      <alignment horizontal="center" vertical="center" wrapText="1"/>
    </xf>
    <xf numFmtId="0" fontId="0" fillId="11" borderId="4" xfId="0" applyNumberFormat="1" applyFill="1" applyBorder="1" applyAlignment="1">
      <alignment horizontal="center" vertical="center" wrapText="1"/>
    </xf>
    <xf numFmtId="49" fontId="0" fillId="0" borderId="4" xfId="0" applyBorder="1" applyAlignment="1">
      <alignment horizontal="center" vertical="center"/>
    </xf>
    <xf numFmtId="0" fontId="8" fillId="7" borderId="4" xfId="0" applyNumberFormat="1" applyFont="1" applyFill="1" applyBorder="1" applyAlignment="1">
      <alignment horizontal="center" vertical="center" wrapText="1"/>
    </xf>
    <xf numFmtId="0" fontId="8" fillId="7" borderId="6" xfId="0" applyNumberFormat="1" applyFont="1" applyFill="1" applyBorder="1" applyAlignment="1">
      <alignment horizontal="center" vertical="center" wrapText="1"/>
    </xf>
    <xf numFmtId="49" fontId="8" fillId="25" borderId="6" xfId="0" applyFont="1" applyFill="1" applyBorder="1" applyAlignment="1">
      <alignment horizontal="center" vertical="center" wrapText="1"/>
    </xf>
    <xf numFmtId="49" fontId="8" fillId="25" borderId="7" xfId="0" applyFont="1" applyFill="1" applyBorder="1" applyAlignment="1">
      <alignment horizontal="center" vertical="center" wrapText="1"/>
    </xf>
    <xf numFmtId="49" fontId="8" fillId="7" borderId="11" xfId="0" applyFont="1" applyFill="1" applyBorder="1" applyAlignment="1">
      <alignment horizontal="center" vertical="center" wrapText="1"/>
    </xf>
    <xf numFmtId="49" fontId="8" fillId="7" borderId="0" xfId="0" applyFont="1" applyFill="1" applyAlignment="1">
      <alignment horizontal="center" vertical="center" wrapText="1"/>
    </xf>
    <xf numFmtId="49" fontId="8" fillId="7" borderId="20" xfId="0" applyFont="1" applyFill="1" applyBorder="1" applyAlignment="1">
      <alignment horizontal="center" vertical="center" wrapText="1"/>
    </xf>
    <xf numFmtId="0" fontId="8" fillId="7" borderId="5" xfId="0" applyNumberFormat="1" applyFont="1" applyFill="1" applyBorder="1" applyAlignment="1">
      <alignment horizontal="center" vertical="center" wrapText="1"/>
    </xf>
    <xf numFmtId="0" fontId="8" fillId="23" borderId="6" xfId="0" applyNumberFormat="1" applyFont="1" applyFill="1" applyBorder="1" applyAlignment="1">
      <alignment horizontal="center" vertical="center" wrapText="1"/>
    </xf>
    <xf numFmtId="0" fontId="8" fillId="23" borderId="7" xfId="0" applyNumberFormat="1" applyFont="1" applyFill="1" applyBorder="1" applyAlignment="1">
      <alignment horizontal="center" vertical="center" wrapText="1"/>
    </xf>
    <xf numFmtId="0" fontId="8" fillId="23" borderId="5" xfId="0" applyNumberFormat="1" applyFont="1" applyFill="1" applyBorder="1" applyAlignment="1">
      <alignment horizontal="center" vertical="center" wrapText="1"/>
    </xf>
    <xf numFmtId="49" fontId="39" fillId="21" borderId="6" xfId="0" applyFont="1" applyFill="1" applyBorder="1" applyAlignment="1">
      <alignment horizontal="center" vertical="center" wrapText="1"/>
    </xf>
    <xf numFmtId="49" fontId="39" fillId="21" borderId="7" xfId="0" applyFont="1" applyFill="1" applyBorder="1" applyAlignment="1">
      <alignment horizontal="center" vertical="center" wrapText="1"/>
    </xf>
    <xf numFmtId="49" fontId="39" fillId="21" borderId="5" xfId="0" applyFont="1" applyFill="1" applyBorder="1" applyAlignment="1">
      <alignment horizontal="center" vertical="center" wrapText="1"/>
    </xf>
    <xf numFmtId="49" fontId="39" fillId="24" borderId="6" xfId="0" applyFont="1" applyFill="1" applyBorder="1" applyAlignment="1">
      <alignment horizontal="center" vertical="center" wrapText="1"/>
    </xf>
    <xf numFmtId="49" fontId="39" fillId="24" borderId="7" xfId="0" applyFont="1" applyFill="1" applyBorder="1" applyAlignment="1">
      <alignment horizontal="center" vertical="center" wrapText="1"/>
    </xf>
    <xf numFmtId="49" fontId="39" fillId="24" borderId="5" xfId="0" applyFont="1" applyFill="1" applyBorder="1" applyAlignment="1">
      <alignment horizontal="center" vertical="center" wrapText="1"/>
    </xf>
    <xf numFmtId="49" fontId="8" fillId="7" borderId="4" xfId="0" applyFont="1" applyFill="1" applyBorder="1" applyAlignment="1">
      <alignment horizontal="center" vertical="center" wrapText="1"/>
    </xf>
    <xf numFmtId="49" fontId="8" fillId="0" borderId="7" xfId="0" applyFont="1" applyBorder="1" applyAlignment="1">
      <alignment horizontal="center" vertical="center" wrapText="1"/>
    </xf>
    <xf numFmtId="49" fontId="8" fillId="0" borderId="0" xfId="0" applyFont="1" applyAlignment="1">
      <alignment horizontal="left" vertical="top" wrapText="1"/>
    </xf>
    <xf numFmtId="0" fontId="8" fillId="0" borderId="5" xfId="0" applyNumberFormat="1" applyFont="1" applyBorder="1" applyAlignment="1">
      <alignment horizontal="left" vertical="center" wrapText="1" indent="1"/>
    </xf>
    <xf numFmtId="0" fontId="8" fillId="0" borderId="6" xfId="0" applyNumberFormat="1" applyFont="1" applyBorder="1" applyAlignment="1">
      <alignment horizontal="left" vertical="center" wrapText="1" indent="1"/>
    </xf>
    <xf numFmtId="0" fontId="0" fillId="9" borderId="9" xfId="0" applyNumberFormat="1" applyFill="1" applyBorder="1" applyAlignment="1">
      <alignment horizontal="left" vertical="top" wrapText="1"/>
    </xf>
    <xf numFmtId="0" fontId="0" fillId="9" borderId="28" xfId="0" applyNumberFormat="1" applyFill="1" applyBorder="1" applyAlignment="1">
      <alignment horizontal="left" vertical="top" wrapText="1"/>
    </xf>
    <xf numFmtId="0" fontId="0" fillId="9" borderId="15" xfId="0" applyNumberFormat="1" applyFill="1" applyBorder="1" applyAlignment="1">
      <alignment horizontal="left" vertical="top" wrapText="1"/>
    </xf>
    <xf numFmtId="4" fontId="8" fillId="0" borderId="9" xfId="0" applyNumberFormat="1" applyFont="1" applyBorder="1" applyAlignment="1">
      <alignment horizontal="center" vertical="center" wrapText="1"/>
    </xf>
    <xf numFmtId="4" fontId="8" fillId="0" borderId="15" xfId="0" applyNumberFormat="1" applyFont="1" applyBorder="1" applyAlignment="1">
      <alignment horizontal="center" vertical="center" wrapText="1"/>
    </xf>
    <xf numFmtId="49" fontId="8" fillId="0" borderId="12" xfId="0" applyFont="1" applyBorder="1" applyAlignment="1">
      <alignment horizontal="left" vertical="top" wrapText="1"/>
    </xf>
    <xf numFmtId="49" fontId="8" fillId="0" borderId="22" xfId="0" applyFont="1" applyBorder="1" applyAlignment="1">
      <alignment horizontal="left" vertical="top" wrapText="1"/>
    </xf>
    <xf numFmtId="4" fontId="8" fillId="0" borderId="28" xfId="0" applyNumberFormat="1" applyFont="1" applyBorder="1" applyAlignment="1">
      <alignment horizontal="center" vertical="center" wrapText="1"/>
    </xf>
    <xf numFmtId="171" fontId="8" fillId="0" borderId="9" xfId="0" applyNumberFormat="1" applyFont="1" applyBorder="1" applyAlignment="1">
      <alignment horizontal="center" vertical="center" wrapText="1"/>
    </xf>
    <xf numFmtId="171" fontId="8" fillId="0" borderId="15" xfId="0" applyNumberFormat="1" applyFont="1" applyBorder="1" applyAlignment="1">
      <alignment horizontal="center" vertical="center" wrapText="1"/>
    </xf>
    <xf numFmtId="171" fontId="8" fillId="0" borderId="6" xfId="0" applyNumberFormat="1" applyFont="1" applyBorder="1" applyAlignment="1">
      <alignment horizontal="center" vertical="center" wrapText="1"/>
    </xf>
    <xf numFmtId="171" fontId="8" fillId="0" borderId="7" xfId="0" applyNumberFormat="1" applyFont="1" applyBorder="1" applyAlignment="1">
      <alignment horizontal="center" vertical="center" wrapText="1"/>
    </xf>
    <xf numFmtId="171" fontId="8" fillId="0" borderId="5" xfId="0" applyNumberFormat="1" applyFont="1" applyBorder="1" applyAlignment="1">
      <alignment horizontal="center" vertical="center" wrapText="1"/>
    </xf>
    <xf numFmtId="14" fontId="8" fillId="15" borderId="4" xfId="0" applyNumberFormat="1" applyFont="1" applyFill="1" applyBorder="1" applyAlignment="1">
      <alignment horizontal="left" vertical="center" wrapText="1"/>
    </xf>
    <xf numFmtId="49" fontId="8" fillId="15" borderId="6" xfId="0" applyFont="1" applyFill="1" applyBorder="1" applyAlignment="1">
      <alignment horizontal="left" vertical="center" wrapText="1"/>
    </xf>
    <xf numFmtId="0" fontId="8" fillId="11" borderId="15" xfId="0" applyNumberFormat="1" applyFont="1" applyFill="1" applyBorder="1" applyAlignment="1">
      <alignment horizontal="left" vertical="center" wrapText="1"/>
    </xf>
    <xf numFmtId="14" fontId="8" fillId="15" borderId="15" xfId="0" applyNumberFormat="1" applyFont="1" applyFill="1" applyBorder="1" applyAlignment="1">
      <alignment horizontal="left" vertical="center" wrapText="1"/>
    </xf>
    <xf numFmtId="171" fontId="8" fillId="0" borderId="4" xfId="0" applyNumberFormat="1" applyFont="1" applyBorder="1" applyAlignment="1">
      <alignment horizontal="center" vertical="center" wrapText="1"/>
    </xf>
    <xf numFmtId="171" fontId="38" fillId="0" borderId="49" xfId="0" applyNumberFormat="1" applyFont="1" applyBorder="1" applyAlignment="1">
      <alignment horizontal="center" vertical="center" wrapText="1"/>
    </xf>
    <xf numFmtId="171" fontId="38" fillId="0" borderId="43" xfId="0" applyNumberFormat="1" applyFont="1" applyBorder="1" applyAlignment="1">
      <alignment horizontal="center" vertical="center" wrapText="1"/>
    </xf>
    <xf numFmtId="171" fontId="38" fillId="0" borderId="68" xfId="0" applyNumberFormat="1" applyFont="1" applyBorder="1" applyAlignment="1">
      <alignment horizontal="center" vertical="center" wrapText="1"/>
    </xf>
    <xf numFmtId="49" fontId="8" fillId="15" borderId="19" xfId="0" applyFont="1" applyFill="1" applyBorder="1" applyAlignment="1">
      <alignment horizontal="left" vertical="center" wrapText="1"/>
    </xf>
    <xf numFmtId="49" fontId="0" fillId="0" borderId="7" xfId="0" applyBorder="1" applyAlignment="1">
      <alignment horizontal="left" vertical="center" indent="1"/>
    </xf>
    <xf numFmtId="49" fontId="0" fillId="0" borderId="4" xfId="0" applyBorder="1" applyAlignment="1">
      <alignment horizontal="center" vertical="top"/>
    </xf>
    <xf numFmtId="49" fontId="0" fillId="0" borderId="6" xfId="0" applyBorder="1" applyAlignment="1">
      <alignment horizontal="center" vertical="top"/>
    </xf>
  </cellXfs>
  <cellStyles count="214">
    <cellStyle name=" 1" xfId="2" xr:uid="{00000000-0005-0000-0000-000030000000}"/>
    <cellStyle name=" 1 2" xfId="3" xr:uid="{00000000-0005-0000-0000-000031000000}"/>
    <cellStyle name=" 1 2 2" xfId="3" xr:uid="{00000000-0005-0000-0000-000032000000}"/>
    <cellStyle name=" 1 3" xfId="2" xr:uid="{00000000-0005-0000-0000-000033000000}"/>
    <cellStyle name=" 1_Stage1" xfId="2" xr:uid="{00000000-0005-0000-0000-000034000000}"/>
    <cellStyle name="_Model_RAB Мой_PR.PROG.WARM.NOTCOMBI.2012.2.16_v1.4(04.04.11) " xfId="4" xr:uid="{00000000-0005-0000-0000-000035000000}"/>
    <cellStyle name="_Model_RAB Мой_PR.PROG.WARM.NOTCOMBI.2012.2.16_v1.4(04.04.11)  2" xfId="4" xr:uid="{00000000-0005-0000-0000-000036000000}"/>
    <cellStyle name="_Model_RAB Мой_Книга2_PR.PROG.WARM.NOTCOMBI.2012.2.16_v1.4(04.04.11) " xfId="4" xr:uid="{00000000-0005-0000-0000-000037000000}"/>
    <cellStyle name="_Model_RAB Мой_Книга2_PR.PROG.WARM.NOTCOMBI.2012.2.16_v1.4(04.04.11)  2" xfId="4" xr:uid="{00000000-0005-0000-0000-000038000000}"/>
    <cellStyle name="_Model_RAB_MRSK_svod_PR.PROG.WARM.NOTCOMBI.2012.2.16_v1.4(04.04.11) " xfId="4" xr:uid="{00000000-0005-0000-0000-000039000000}"/>
    <cellStyle name="_Model_RAB_MRSK_svod_PR.PROG.WARM.NOTCOMBI.2012.2.16_v1.4(04.04.11)  2" xfId="4" xr:uid="{00000000-0005-0000-0000-00003A000000}"/>
    <cellStyle name="_Model_RAB_MRSK_svod_Книга2_PR.PROG.WARM.NOTCOMBI.2012.2.16_v1.4(04.04.11) " xfId="4" xr:uid="{00000000-0005-0000-0000-00003B000000}"/>
    <cellStyle name="_Model_RAB_MRSK_svod_Книга2_PR.PROG.WARM.NOTCOMBI.2012.2.16_v1.4(04.04.11)  2" xfId="4" xr:uid="{00000000-0005-0000-0000-00003C000000}"/>
    <cellStyle name="_МОДЕЛЬ_1 (2)_PR.PROG.WARM.NOTCOMBI.2012.2.16_v1.4(04.04.11) " xfId="4" xr:uid="{00000000-0005-0000-0000-00003D000000}"/>
    <cellStyle name="_МОДЕЛЬ_1 (2)_PR.PROG.WARM.NOTCOMBI.2012.2.16_v1.4(04.04.11)  2" xfId="4" xr:uid="{00000000-0005-0000-0000-00003E000000}"/>
    <cellStyle name="_МОДЕЛЬ_1 (2)_Книга2_PR.PROG.WARM.NOTCOMBI.2012.2.16_v1.4(04.04.11) " xfId="4" xr:uid="{00000000-0005-0000-0000-00003F000000}"/>
    <cellStyle name="_МОДЕЛЬ_1 (2)_Книга2_PR.PROG.WARM.NOTCOMBI.2012.2.16_v1.4(04.04.11)  2" xfId="4" xr:uid="{00000000-0005-0000-0000-000040000000}"/>
    <cellStyle name="_пр 5 тариф RAB_PR.PROG.WARM.NOTCOMBI.2012.2.16_v1.4(04.04.11) " xfId="4" xr:uid="{00000000-0005-0000-0000-000041000000}"/>
    <cellStyle name="_пр 5 тариф RAB_PR.PROG.WARM.NOTCOMBI.2012.2.16_v1.4(04.04.11)  2" xfId="4" xr:uid="{00000000-0005-0000-0000-000042000000}"/>
    <cellStyle name="_пр 5 тариф RAB_Книга2_PR.PROG.WARM.NOTCOMBI.2012.2.16_v1.4(04.04.11) " xfId="4" xr:uid="{00000000-0005-0000-0000-000043000000}"/>
    <cellStyle name="_пр 5 тариф RAB_Книга2_PR.PROG.WARM.NOTCOMBI.2012.2.16_v1.4(04.04.11)  2" xfId="4" xr:uid="{00000000-0005-0000-0000-000044000000}"/>
    <cellStyle name="_Расчет RAB_22072008_PR.PROG.WARM.NOTCOMBI.2012.2.16_v1.4(04.04.11) " xfId="4" xr:uid="{00000000-0005-0000-0000-000045000000}"/>
    <cellStyle name="_Расчет RAB_22072008_PR.PROG.WARM.NOTCOMBI.2012.2.16_v1.4(04.04.11)  2" xfId="4" xr:uid="{00000000-0005-0000-0000-000046000000}"/>
    <cellStyle name="_Расчет RAB_22072008_Книга2_PR.PROG.WARM.NOTCOMBI.2012.2.16_v1.4(04.04.11) " xfId="4" xr:uid="{00000000-0005-0000-0000-000047000000}"/>
    <cellStyle name="_Расчет RAB_22072008_Книга2_PR.PROG.WARM.NOTCOMBI.2012.2.16_v1.4(04.04.11)  2" xfId="4" xr:uid="{00000000-0005-0000-0000-000048000000}"/>
    <cellStyle name="_Расчет RAB_Лен и МОЭСК_с 2010 года_14.04.2009_со сглаж_version 3.0_без ФСК_PR.PROG.WARM.NOTCOMBI.2012.2.16_v1.4(04.04.11) " xfId="4" xr:uid="{00000000-0005-0000-0000-000049000000}"/>
    <cellStyle name="_Расчет RAB_Лен и МОЭСК_с 2010 года_14.04.2009_со сглаж_version 3.0_без ФСК_PR.PROG.WARM.NOTCOMBI.2012.2.16_v1.4(04.04.11)  2" xfId="4" xr:uid="{00000000-0005-0000-0000-00004A000000}"/>
    <cellStyle name="_Расчет RAB_Лен и МОЭСК_с 2010 года_14.04.2009_со сглаж_version 3.0_без ФСК_Книга2_PR.PROG.WARM.NOTCOMBI.2012.2.16_v1.4(04.04.11) " xfId="4" xr:uid="{00000000-0005-0000-0000-00004B000000}"/>
    <cellStyle name="_Расчет RAB_Лен и МОЭСК_с 2010 года_14.04.2009_со сглаж_version 3.0_без ФСК_Книга2_PR.PROG.WARM.NOTCOMBI.2012.2.16_v1.4(04.04.11)  2" xfId="4" xr:uid="{00000000-0005-0000-0000-00004C000000}"/>
    <cellStyle name="Cells 2" xfId="5" xr:uid="{00000000-0005-0000-0000-00004D000000}"/>
    <cellStyle name="Cells 2 2" xfId="5" xr:uid="{00000000-0005-0000-0000-00004E000000}"/>
    <cellStyle name="currency1" xfId="6" xr:uid="{00000000-0005-0000-0000-00004F000000}"/>
    <cellStyle name="currency1 2" xfId="6" xr:uid="{00000000-0005-0000-0000-000050000000}"/>
    <cellStyle name="Currency2" xfId="7" xr:uid="{00000000-0005-0000-0000-000051000000}"/>
    <cellStyle name="Currency2 2" xfId="7" xr:uid="{00000000-0005-0000-0000-000052000000}"/>
    <cellStyle name="currency3" xfId="8" xr:uid="{00000000-0005-0000-0000-000053000000}"/>
    <cellStyle name="currency3 2" xfId="8" xr:uid="{00000000-0005-0000-0000-000054000000}"/>
    <cellStyle name="currency4" xfId="9" xr:uid="{00000000-0005-0000-0000-000055000000}"/>
    <cellStyle name="currency4 2" xfId="9" xr:uid="{00000000-0005-0000-0000-000056000000}"/>
    <cellStyle name="Followed Hyperlink" xfId="10" xr:uid="{00000000-0005-0000-0000-000057000000}"/>
    <cellStyle name="Followed Hyperlink 2" xfId="10" xr:uid="{00000000-0005-0000-0000-000058000000}"/>
    <cellStyle name="Header 3" xfId="11" xr:uid="{00000000-0005-0000-0000-000059000000}"/>
    <cellStyle name="Header 3 2" xfId="11" xr:uid="{00000000-0005-0000-0000-00005A000000}"/>
    <cellStyle name="normal" xfId="1" xr:uid="{00000000-0005-0000-0000-000029000000}"/>
    <cellStyle name="normal 2" xfId="1" xr:uid="{00000000-0005-0000-0000-00005C000000}"/>
    <cellStyle name="Normal1" xfId="12" xr:uid="{00000000-0005-0000-0000-00005D000000}"/>
    <cellStyle name="Normal1 2" xfId="12" xr:uid="{00000000-0005-0000-0000-00005E000000}"/>
    <cellStyle name="Normal2" xfId="7" xr:uid="{00000000-0005-0000-0000-00005F000000}"/>
    <cellStyle name="Normal2 2" xfId="7" xr:uid="{00000000-0005-0000-0000-000060000000}"/>
    <cellStyle name="Percent1" xfId="7" xr:uid="{00000000-0005-0000-0000-000061000000}"/>
    <cellStyle name="Percent1 2" xfId="7" xr:uid="{00000000-0005-0000-0000-000062000000}"/>
    <cellStyle name="Title 4" xfId="13" xr:uid="{00000000-0005-0000-0000-000063000000}"/>
    <cellStyle name="Title 4 2" xfId="13" xr:uid="{00000000-0005-0000-0000-000064000000}"/>
    <cellStyle name="Ввод  2" xfId="14" xr:uid="{00000000-0005-0000-0000-000065000000}"/>
    <cellStyle name="Ввод  2 2" xfId="14" xr:uid="{00000000-0005-0000-0000-000066000000}"/>
    <cellStyle name="Ввод  3" xfId="14" xr:uid="{00000000-0005-0000-0000-000067000000}"/>
    <cellStyle name="Ввод  3 2" xfId="14" xr:uid="{00000000-0005-0000-0000-000068000000}"/>
    <cellStyle name="Гиперссылка" xfId="15" builtinId="8"/>
    <cellStyle name="Гиперссылка 2" xfId="16" xr:uid="{00000000-0005-0000-0000-000069000000}"/>
    <cellStyle name="Гиперссылка 2 2" xfId="17" xr:uid="{00000000-0005-0000-0000-00006A000000}"/>
    <cellStyle name="Гиперссылка 2 2 2" xfId="17" xr:uid="{00000000-0005-0000-0000-00006B000000}"/>
    <cellStyle name="Гиперссылка 2 3" xfId="18" xr:uid="{00000000-0005-0000-0000-00006C000000}"/>
    <cellStyle name="Гиперссылка 2 3 2" xfId="18" xr:uid="{00000000-0005-0000-0000-00006D000000}"/>
    <cellStyle name="Гиперссылка 2 4" xfId="16" xr:uid="{00000000-0005-0000-0000-00006E000000}"/>
    <cellStyle name="Гиперссылка 3" xfId="15" xr:uid="{00000000-0005-0000-0000-00006F000000}"/>
    <cellStyle name="Гиперссылка 4" xfId="19" xr:uid="{00000000-0005-0000-0000-000070000000}"/>
    <cellStyle name="Гиперссылка 4 2" xfId="15" xr:uid="{00000000-0005-0000-0000-000071000000}"/>
    <cellStyle name="Гиперссылка 4 2 2" xfId="15" xr:uid="{00000000-0005-0000-0000-000072000000}"/>
    <cellStyle name="Гиперссылка 4 3" xfId="19" xr:uid="{00000000-0005-0000-0000-000073000000}"/>
    <cellStyle name="Гиперссылка 5" xfId="15" xr:uid="{00000000-0005-0000-0000-000074000000}"/>
    <cellStyle name="Гиперссылка 5 2" xfId="15" xr:uid="{00000000-0005-0000-0000-000075000000}"/>
    <cellStyle name="Границы" xfId="20" xr:uid="{00000000-0005-0000-0000-000076000000}"/>
    <cellStyle name="Границы 2" xfId="20" xr:uid="{00000000-0005-0000-0000-000077000000}"/>
    <cellStyle name="Заголовок" xfId="21" xr:uid="{00000000-0005-0000-0000-000078000000}"/>
    <cellStyle name="Заголовок 2" xfId="21" builtinId="17"/>
    <cellStyle name="ЗаголовокСтолбца" xfId="22" xr:uid="{00000000-0005-0000-0000-000079000000}"/>
    <cellStyle name="ЗаголовокСтолбца 2" xfId="22" xr:uid="{00000000-0005-0000-0000-00007A000000}"/>
    <cellStyle name="Значение" xfId="23" xr:uid="{00000000-0005-0000-0000-00007B000000}"/>
    <cellStyle name="Значение 2" xfId="23" xr:uid="{00000000-0005-0000-0000-00007C000000}"/>
    <cellStyle name="Обычный" xfId="0" builtinId="0"/>
    <cellStyle name="Обычный 10" xfId="24" xr:uid="{00000000-0005-0000-0000-00007D000000}"/>
    <cellStyle name="Обычный 10 2" xfId="24" xr:uid="{00000000-0005-0000-0000-00007E000000}"/>
    <cellStyle name="Обычный 11" xfId="25" xr:uid="{00000000-0005-0000-0000-00007F000000}"/>
    <cellStyle name="Обычный 11 2" xfId="25" xr:uid="{00000000-0005-0000-0000-000080000000}"/>
    <cellStyle name="Обычный 11 2 2" xfId="25" xr:uid="{00000000-0005-0000-0000-000081000000}"/>
    <cellStyle name="Обычный 11 2 2 2" xfId="25" xr:uid="{00000000-0005-0000-0000-000082000000}"/>
    <cellStyle name="Обычный 11 2 3" xfId="25" xr:uid="{00000000-0005-0000-0000-000083000000}"/>
    <cellStyle name="Обычный 11 3" xfId="25" xr:uid="{00000000-0005-0000-0000-000084000000}"/>
    <cellStyle name="Обычный 11 3 2" xfId="25" xr:uid="{00000000-0005-0000-0000-000085000000}"/>
    <cellStyle name="Обычный 11 4" xfId="25" xr:uid="{00000000-0005-0000-0000-000086000000}"/>
    <cellStyle name="Обычный 12" xfId="25" xr:uid="{00000000-0005-0000-0000-000087000000}"/>
    <cellStyle name="Обычный 12 2" xfId="26" xr:uid="{00000000-0005-0000-0000-000088000000}"/>
    <cellStyle name="Обычный 12 2 2" xfId="26" xr:uid="{00000000-0005-0000-0000-000089000000}"/>
    <cellStyle name="Обычный 12 3" xfId="25" xr:uid="{00000000-0005-0000-0000-00008A000000}"/>
    <cellStyle name="Обычный 12 3 2" xfId="25" xr:uid="{00000000-0005-0000-0000-00008B000000}"/>
    <cellStyle name="Обычный 12 3 2 2" xfId="25" xr:uid="{00000000-0005-0000-0000-00008C000000}"/>
    <cellStyle name="Обычный 12 3 2 2 2" xfId="25" xr:uid="{00000000-0005-0000-0000-00008D000000}"/>
    <cellStyle name="Обычный 12 3 2 3" xfId="25" xr:uid="{00000000-0005-0000-0000-00008E000000}"/>
    <cellStyle name="Обычный 12 3 3" xfId="25" xr:uid="{00000000-0005-0000-0000-00008F000000}"/>
    <cellStyle name="Обычный 12 3 3 2" xfId="25" xr:uid="{00000000-0005-0000-0000-000090000000}"/>
    <cellStyle name="Обычный 12 3 4" xfId="25" xr:uid="{00000000-0005-0000-0000-000091000000}"/>
    <cellStyle name="Обычный 12 4" xfId="25" xr:uid="{00000000-0005-0000-0000-000092000000}"/>
    <cellStyle name="Обычный 12 4 2" xfId="25" xr:uid="{00000000-0005-0000-0000-000093000000}"/>
    <cellStyle name="Обычный 12 4 2 2" xfId="25" xr:uid="{00000000-0005-0000-0000-000094000000}"/>
    <cellStyle name="Обычный 12 4 3" xfId="25" xr:uid="{00000000-0005-0000-0000-000095000000}"/>
    <cellStyle name="Обычный 12 5" xfId="25" xr:uid="{00000000-0005-0000-0000-000096000000}"/>
    <cellStyle name="Обычный 12 5 2" xfId="25" xr:uid="{00000000-0005-0000-0000-000097000000}"/>
    <cellStyle name="Обычный 12 5 2 2" xfId="25" xr:uid="{00000000-0005-0000-0000-000098000000}"/>
    <cellStyle name="Обычный 12 5 3" xfId="25" xr:uid="{00000000-0005-0000-0000-000099000000}"/>
    <cellStyle name="Обычный 12 6" xfId="25" xr:uid="{00000000-0005-0000-0000-00009A000000}"/>
    <cellStyle name="Обычный 12 6 2" xfId="25" xr:uid="{00000000-0005-0000-0000-00009B000000}"/>
    <cellStyle name="Обычный 12 6 2 2" xfId="25" xr:uid="{00000000-0005-0000-0000-00009C000000}"/>
    <cellStyle name="Обычный 12 6 3" xfId="25" xr:uid="{00000000-0005-0000-0000-00009D000000}"/>
    <cellStyle name="Обычный 12 7" xfId="25" xr:uid="{00000000-0005-0000-0000-00009E000000}"/>
    <cellStyle name="Обычный 12 7 2" xfId="25" xr:uid="{00000000-0005-0000-0000-00009F000000}"/>
    <cellStyle name="Обычный 12 8" xfId="25" xr:uid="{00000000-0005-0000-0000-0000A0000000}"/>
    <cellStyle name="Обычный 13" xfId="27" xr:uid="{00000000-0005-0000-0000-0000A1000000}"/>
    <cellStyle name="Обычный 13 2" xfId="27" xr:uid="{00000000-0005-0000-0000-0000A2000000}"/>
    <cellStyle name="Обычный 14" xfId="25" xr:uid="{00000000-0005-0000-0000-0000A3000000}"/>
    <cellStyle name="Обычный 14 2" xfId="25" xr:uid="{00000000-0005-0000-0000-0000A4000000}"/>
    <cellStyle name="Обычный 14 2 2" xfId="25" xr:uid="{00000000-0005-0000-0000-0000A5000000}"/>
    <cellStyle name="Обычный 14 2 2 2" xfId="25" xr:uid="{00000000-0005-0000-0000-0000A6000000}"/>
    <cellStyle name="Обычный 14 2 2 2 2" xfId="25" xr:uid="{00000000-0005-0000-0000-0000A7000000}"/>
    <cellStyle name="Обычный 14 2 2 3" xfId="25" xr:uid="{00000000-0005-0000-0000-0000A8000000}"/>
    <cellStyle name="Обычный 14 2 3" xfId="25" xr:uid="{00000000-0005-0000-0000-0000A9000000}"/>
    <cellStyle name="Обычный 14 2 3 2" xfId="25" xr:uid="{00000000-0005-0000-0000-0000AA000000}"/>
    <cellStyle name="Обычный 14 2 4" xfId="25" xr:uid="{00000000-0005-0000-0000-0000AB000000}"/>
    <cellStyle name="Обычный 14 3" xfId="25" xr:uid="{00000000-0005-0000-0000-0000AC000000}"/>
    <cellStyle name="Обычный 14 3 2" xfId="25" xr:uid="{00000000-0005-0000-0000-0000AD000000}"/>
    <cellStyle name="Обычный 14 3 2 2" xfId="25" xr:uid="{00000000-0005-0000-0000-0000AE000000}"/>
    <cellStyle name="Обычный 14 3 3" xfId="25" xr:uid="{00000000-0005-0000-0000-0000AF000000}"/>
    <cellStyle name="Обычный 14 4" xfId="25" xr:uid="{00000000-0005-0000-0000-0000B0000000}"/>
    <cellStyle name="Обычный 14 4 2" xfId="25" xr:uid="{00000000-0005-0000-0000-0000B1000000}"/>
    <cellStyle name="Обычный 14 4 2 2" xfId="25" xr:uid="{00000000-0005-0000-0000-0000B2000000}"/>
    <cellStyle name="Обычный 14 4 3" xfId="25" xr:uid="{00000000-0005-0000-0000-0000B3000000}"/>
    <cellStyle name="Обычный 14 5" xfId="25" xr:uid="{00000000-0005-0000-0000-0000B4000000}"/>
    <cellStyle name="Обычный 14 5 2" xfId="25" xr:uid="{00000000-0005-0000-0000-0000B5000000}"/>
    <cellStyle name="Обычный 14 5 2 2" xfId="25" xr:uid="{00000000-0005-0000-0000-0000B6000000}"/>
    <cellStyle name="Обычный 14 5 3" xfId="25" xr:uid="{00000000-0005-0000-0000-0000B7000000}"/>
    <cellStyle name="Обычный 14 6" xfId="25" xr:uid="{00000000-0005-0000-0000-0000B8000000}"/>
    <cellStyle name="Обычный 14 6 2" xfId="25" xr:uid="{00000000-0005-0000-0000-0000B9000000}"/>
    <cellStyle name="Обычный 14 6 2 2" xfId="25" xr:uid="{00000000-0005-0000-0000-0000BA000000}"/>
    <cellStyle name="Обычный 14 6 2 2 2" xfId="25" xr:uid="{00000000-0005-0000-0000-0000BB000000}"/>
    <cellStyle name="Обычный 14 6 2 2 2 2" xfId="25" xr:uid="{00000000-0005-0000-0000-0000BC000000}"/>
    <cellStyle name="Обычный 14 6 2 2 3" xfId="25" xr:uid="{00000000-0005-0000-0000-0000BD000000}"/>
    <cellStyle name="Обычный 14 6 2 3" xfId="25" xr:uid="{00000000-0005-0000-0000-0000BE000000}"/>
    <cellStyle name="Обычный 14 6 2 3 2" xfId="25" xr:uid="{00000000-0005-0000-0000-0000BF000000}"/>
    <cellStyle name="Обычный 14 6 2 4" xfId="25" xr:uid="{00000000-0005-0000-0000-0000C0000000}"/>
    <cellStyle name="Обычный 14 6 3" xfId="25" xr:uid="{00000000-0005-0000-0000-0000C1000000}"/>
    <cellStyle name="Обычный 14 6 3 2" xfId="25" xr:uid="{00000000-0005-0000-0000-0000C2000000}"/>
    <cellStyle name="Обычный 14 6 3 2 2" xfId="25" xr:uid="{00000000-0005-0000-0000-0000C3000000}"/>
    <cellStyle name="Обычный 14 6 3 3" xfId="25" xr:uid="{00000000-0005-0000-0000-0000C4000000}"/>
    <cellStyle name="Обычный 14 6 4" xfId="25" xr:uid="{00000000-0005-0000-0000-0000C5000000}"/>
    <cellStyle name="Обычный 14 6 4 2" xfId="25" xr:uid="{00000000-0005-0000-0000-0000C6000000}"/>
    <cellStyle name="Обычный 14 6 5" xfId="25" xr:uid="{00000000-0005-0000-0000-0000C7000000}"/>
    <cellStyle name="Обычный 14 7" xfId="25" xr:uid="{00000000-0005-0000-0000-0000C8000000}"/>
    <cellStyle name="Обычный 14 7 2" xfId="25" xr:uid="{00000000-0005-0000-0000-0000C9000000}"/>
    <cellStyle name="Обычный 14 8" xfId="28" xr:uid="{00000000-0005-0000-0000-0000CA000000}"/>
    <cellStyle name="Обычный 14 8 2" xfId="28" xr:uid="{00000000-0005-0000-0000-0000CB000000}"/>
    <cellStyle name="Обычный 14 9" xfId="25" xr:uid="{00000000-0005-0000-0000-0000CC000000}"/>
    <cellStyle name="Обычный 15" xfId="25" xr:uid="{00000000-0005-0000-0000-0000CD000000}"/>
    <cellStyle name="Обычный 15 2" xfId="25" xr:uid="{00000000-0005-0000-0000-0000CE000000}"/>
    <cellStyle name="Обычный 16" xfId="27" xr:uid="{00000000-0005-0000-0000-0000CF000000}"/>
    <cellStyle name="Обычный 16 2" xfId="27" xr:uid="{00000000-0005-0000-0000-0000D0000000}"/>
    <cellStyle name="Обычный 17" xfId="25" xr:uid="{00000000-0005-0000-0000-0000D1000000}"/>
    <cellStyle name="Обычный 17 2" xfId="25" xr:uid="{00000000-0005-0000-0000-0000D2000000}"/>
    <cellStyle name="Обычный 18" xfId="27" xr:uid="{00000000-0005-0000-0000-0000D3000000}"/>
    <cellStyle name="Обычный 2" xfId="28" xr:uid="{00000000-0005-0000-0000-0000D4000000}"/>
    <cellStyle name="Обычный 2 10 2" xfId="28" xr:uid="{00000000-0005-0000-0000-0000D5000000}"/>
    <cellStyle name="Обычный 2 10 2 2" xfId="28" xr:uid="{00000000-0005-0000-0000-0000D6000000}"/>
    <cellStyle name="Обычный 2 2" xfId="29" xr:uid="{00000000-0005-0000-0000-0000D7000000}"/>
    <cellStyle name="Обычный 2 2 2" xfId="29" xr:uid="{00000000-0005-0000-0000-0000D8000000}"/>
    <cellStyle name="Обычный 2 3" xfId="26" xr:uid="{00000000-0005-0000-0000-0000D9000000}"/>
    <cellStyle name="Обычный 2 3 2" xfId="26" xr:uid="{00000000-0005-0000-0000-0000DA000000}"/>
    <cellStyle name="Обычный 2 4" xfId="27" xr:uid="{00000000-0005-0000-0000-0000DB000000}"/>
    <cellStyle name="Обычный 2 4 2" xfId="27" xr:uid="{00000000-0005-0000-0000-0000DC000000}"/>
    <cellStyle name="Обычный 2 5" xfId="28" xr:uid="{00000000-0005-0000-0000-0000DD000000}"/>
    <cellStyle name="Обычный 3" xfId="24" xr:uid="{00000000-0005-0000-0000-0000DE000000}"/>
    <cellStyle name="Обычный 3 2" xfId="27" xr:uid="{00000000-0005-0000-0000-0000DF000000}"/>
    <cellStyle name="Обычный 3 2 2" xfId="30" xr:uid="{00000000-0005-0000-0000-0000E0000000}"/>
    <cellStyle name="Обычный 3 2 2 2" xfId="30" xr:uid="{00000000-0005-0000-0000-0000E1000000}"/>
    <cellStyle name="Обычный 3 2 3" xfId="27" xr:uid="{00000000-0005-0000-0000-0000E2000000}"/>
    <cellStyle name="Обычный 3 3" xfId="31" xr:uid="{00000000-0005-0000-0000-0000E3000000}"/>
    <cellStyle name="Обычный 3 3 2" xfId="31" xr:uid="{00000000-0005-0000-0000-0000E4000000}"/>
    <cellStyle name="Обычный 3 3 2 2" xfId="31" xr:uid="{00000000-0005-0000-0000-0000E5000000}"/>
    <cellStyle name="Обычный 3 3 3" xfId="31" xr:uid="{00000000-0005-0000-0000-0000E6000000}"/>
    <cellStyle name="Обычный 3 4" xfId="32" xr:uid="{00000000-0005-0000-0000-0000E7000000}"/>
    <cellStyle name="Обычный 3 4 2" xfId="24" xr:uid="{00000000-0005-0000-0000-0000E8000000}"/>
    <cellStyle name="Обычный 3 4 2 2" xfId="24" xr:uid="{00000000-0005-0000-0000-0000E9000000}"/>
    <cellStyle name="Обычный 3 4 3" xfId="32" xr:uid="{00000000-0005-0000-0000-0000EA000000}"/>
    <cellStyle name="Обычный 3 5" xfId="24" xr:uid="{00000000-0005-0000-0000-0000EB000000}"/>
    <cellStyle name="Обычный 4" xfId="30" xr:uid="{00000000-0005-0000-0000-0000EC000000}"/>
    <cellStyle name="Обычный 4 2" xfId="27" xr:uid="{00000000-0005-0000-0000-0000ED000000}"/>
    <cellStyle name="Обычный 4 2 2" xfId="27" xr:uid="{00000000-0005-0000-0000-0000EE000000}"/>
    <cellStyle name="Обычный 4 3" xfId="30" xr:uid="{00000000-0005-0000-0000-0000EF000000}"/>
    <cellStyle name="Обычный 5" xfId="27" xr:uid="{00000000-0005-0000-0000-0000F0000000}"/>
    <cellStyle name="Обычный 5 2" xfId="27" xr:uid="{00000000-0005-0000-0000-0000F1000000}"/>
    <cellStyle name="Обычный 6" xfId="25" xr:uid="{00000000-0005-0000-0000-0000F2000000}"/>
    <cellStyle name="Обычный 6 2" xfId="30" xr:uid="{00000000-0005-0000-0000-0000F3000000}"/>
    <cellStyle name="Обычный 6 2 2" xfId="30" xr:uid="{00000000-0005-0000-0000-0000F4000000}"/>
    <cellStyle name="Обычный 6 3" xfId="25" xr:uid="{00000000-0005-0000-0000-0000F5000000}"/>
    <cellStyle name="Обычный 6 3 2" xfId="25" xr:uid="{00000000-0005-0000-0000-0000F6000000}"/>
    <cellStyle name="Обычный 6 4" xfId="25" xr:uid="{00000000-0005-0000-0000-0000F7000000}"/>
    <cellStyle name="Обычный 7" xfId="30" xr:uid="{00000000-0005-0000-0000-0000F8000000}"/>
    <cellStyle name="Обычный 7 2" xfId="30" xr:uid="{00000000-0005-0000-0000-0000F9000000}"/>
    <cellStyle name="Обычный 8" xfId="30" xr:uid="{00000000-0005-0000-0000-0000FA000000}"/>
    <cellStyle name="Обычный 8 2" xfId="30" xr:uid="{00000000-0005-0000-0000-0000FB000000}"/>
    <cellStyle name="Обычный 9" xfId="30" xr:uid="{00000000-0005-0000-0000-0000FC000000}"/>
    <cellStyle name="Обычный 9 2" xfId="30" xr:uid="{00000000-0005-0000-0000-0000FD000000}"/>
    <cellStyle name="Обычный_SIMPLE_1_massive2" xfId="33" xr:uid="{00000000-0005-0000-0000-000004010000}"/>
    <cellStyle name="Обычный_форма 1 водопровод для орг" xfId="34" xr:uid="{00000000-0005-0000-0000-000007010000}"/>
    <cellStyle name="Открывавшаяся гиперссылка" xfId="35" xr:uid="{00000000-0005-0000-0000-000009010000}"/>
    <cellStyle name="Открывавшаяся гиперссылка 2" xfId="35" xr:uid="{00000000-0005-0000-0000-00000A010000}"/>
    <cellStyle name="ФормулаВБ_Мониторинг инвестиций" xfId="36" xr:uid="{00000000-0005-0000-0000-00000B01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calcChain" Target="calcChain.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6.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2" name="cmdCreatePrintedForm" descr="Создание печатной формы"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28</xdr:row>
      <xdr:rowOff>0</xdr:rowOff>
    </xdr:from>
    <xdr:to>
      <xdr:col>4</xdr:col>
      <xdr:colOff>288036</xdr:colOff>
      <xdr:row>29</xdr:row>
      <xdr:rowOff>0</xdr:rowOff>
    </xdr:to>
    <xdr:pic>
      <xdr:nvPicPr>
        <xdr:cNvPr id="3" name="UPDATE_PLAN1X_DATA"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63</xdr:row>
      <xdr:rowOff>76200</xdr:rowOff>
    </xdr:from>
    <xdr:to>
      <xdr:col>4</xdr:col>
      <xdr:colOff>312325</xdr:colOff>
      <xdr:row>63</xdr:row>
      <xdr:rowOff>400241</xdr:rowOff>
    </xdr:to>
    <xdr:pic>
      <xdr:nvPicPr>
        <xdr:cNvPr id="4" name="PHONE_PIC" descr="update_org.png"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1B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1C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2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1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office@teploplus-nn.ru" TargetMode="External"/><Relationship Id="rId4" Type="http://schemas.openxmlformats.org/officeDocument/2006/relationships/comments" Target="../comments1.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1" Type="http://schemas.openxmlformats.org/officeDocument/2006/relationships/hyperlink" Target="https://regportal-tariff.ru/disclo/get_file?p_guid=db9a21e4-cf6f-473b-8c3d-17e0d35a7d7c" TargetMode="Externa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AD3338-E94C-C3F3-E9DC-DEF6C6F94F64}">
  <dimension ref="A1:AB21"/>
  <sheetViews>
    <sheetView showGridLines="0" showRowColHeaders="0" workbookViewId="0"/>
  </sheetViews>
  <sheetFormatPr defaultColWidth="11" defaultRowHeight="12.75" customHeight="1"/>
  <cols>
    <col min="1" max="1" width="5.42578125" style="6" customWidth="1"/>
    <col min="2" max="2" width="9.140625" style="6" customWidth="1"/>
    <col min="3" max="3" width="16.42578125" style="6" customWidth="1"/>
    <col min="4" max="25" width="6.28515625" style="6" customWidth="1"/>
    <col min="26" max="28" width="11" style="6"/>
  </cols>
  <sheetData>
    <row r="1" spans="1:28" ht="15.75" customHeight="1">
      <c r="A1" s="956"/>
      <c r="B1" s="957"/>
      <c r="C1" s="957"/>
      <c r="D1" s="957"/>
      <c r="E1" s="957"/>
      <c r="F1" s="957"/>
      <c r="G1" s="957"/>
      <c r="H1" s="957"/>
      <c r="I1" s="957"/>
      <c r="J1" s="957"/>
      <c r="K1" s="957"/>
      <c r="L1" s="957"/>
      <c r="M1" s="957"/>
      <c r="N1" s="957"/>
      <c r="O1" s="957"/>
      <c r="P1" s="957"/>
      <c r="Q1" s="957"/>
      <c r="R1" s="957"/>
      <c r="S1" s="957"/>
      <c r="T1" s="957"/>
      <c r="U1" s="957"/>
      <c r="V1" s="957"/>
      <c r="W1" s="957"/>
      <c r="X1" s="957"/>
      <c r="Y1" s="958"/>
      <c r="Z1" s="957"/>
      <c r="AA1" s="959" t="s">
        <v>0</v>
      </c>
      <c r="AB1" s="957"/>
    </row>
    <row r="2" spans="1:28" ht="17.25" customHeight="1">
      <c r="A2" s="957"/>
      <c r="B2" s="1096" t="s">
        <v>1</v>
      </c>
      <c r="C2" s="1096"/>
      <c r="D2" s="1096"/>
      <c r="E2" s="1096"/>
      <c r="F2" s="1096"/>
      <c r="G2" s="1096"/>
      <c r="H2" s="1096"/>
      <c r="I2" s="1096"/>
      <c r="J2" s="1096"/>
      <c r="K2" s="1096"/>
      <c r="L2" s="1096"/>
      <c r="M2" s="1096"/>
      <c r="N2" s="1096"/>
      <c r="O2" s="1096"/>
      <c r="P2" s="1096"/>
      <c r="Q2" s="960"/>
      <c r="R2" s="960"/>
      <c r="S2" s="960"/>
      <c r="T2" s="960"/>
      <c r="U2" s="960"/>
      <c r="V2" s="961"/>
      <c r="W2" s="960"/>
      <c r="X2" s="960"/>
      <c r="Y2" s="958"/>
      <c r="Z2" s="957"/>
      <c r="AA2" s="959"/>
      <c r="AB2" s="957"/>
    </row>
    <row r="3" spans="1:28" ht="15.75" customHeight="1">
      <c r="A3" s="957"/>
      <c r="B3" s="1097" t="s">
        <v>2</v>
      </c>
      <c r="C3" s="1097"/>
      <c r="D3" s="1097"/>
      <c r="E3" s="1097"/>
      <c r="F3" s="1097"/>
      <c r="G3" s="1097"/>
      <c r="H3" s="1097"/>
      <c r="I3" s="1097"/>
      <c r="J3" s="1097"/>
      <c r="K3" s="1097"/>
      <c r="L3" s="1097"/>
      <c r="M3" s="1097"/>
      <c r="N3" s="1097"/>
      <c r="O3" s="1097"/>
      <c r="P3" s="1097"/>
      <c r="Q3" s="961"/>
      <c r="R3" s="961"/>
      <c r="S3" s="960"/>
      <c r="T3" s="960"/>
      <c r="U3" s="960"/>
      <c r="V3" s="961"/>
      <c r="W3" s="961"/>
      <c r="X3" s="961"/>
      <c r="Y3" s="961"/>
      <c r="Z3" s="957"/>
      <c r="AA3" s="959"/>
      <c r="AB3" s="957"/>
    </row>
    <row r="4" spans="1:28" ht="17.25" customHeight="1">
      <c r="A4" s="957"/>
      <c r="B4" s="962"/>
      <c r="C4" s="957"/>
      <c r="D4" s="961"/>
      <c r="E4" s="961"/>
      <c r="F4" s="961"/>
      <c r="G4" s="961"/>
      <c r="H4" s="961"/>
      <c r="I4" s="961"/>
      <c r="J4" s="961"/>
      <c r="K4" s="961"/>
      <c r="L4" s="961"/>
      <c r="M4" s="961"/>
      <c r="N4" s="961"/>
      <c r="O4" s="961"/>
      <c r="P4" s="961"/>
      <c r="Q4" s="961"/>
      <c r="R4" s="961"/>
      <c r="S4" s="961"/>
      <c r="T4" s="961"/>
      <c r="U4" s="961"/>
      <c r="V4" s="961"/>
      <c r="W4" s="961"/>
      <c r="X4" s="961"/>
      <c r="Y4" s="961"/>
      <c r="Z4" s="957"/>
      <c r="AA4" s="959"/>
      <c r="AB4" s="957"/>
    </row>
    <row r="5" spans="1:28" ht="22.5" customHeight="1">
      <c r="A5" s="963"/>
      <c r="B5" s="1098"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1099"/>
      <c r="D5" s="1099"/>
      <c r="E5" s="1099"/>
      <c r="F5" s="1099"/>
      <c r="G5" s="1099"/>
      <c r="H5" s="1099"/>
      <c r="I5" s="1099"/>
      <c r="J5" s="1099"/>
      <c r="K5" s="1099"/>
      <c r="L5" s="1099"/>
      <c r="M5" s="1099"/>
      <c r="N5" s="1099"/>
      <c r="O5" s="1099"/>
      <c r="P5" s="1099"/>
      <c r="Q5" s="1099"/>
      <c r="R5" s="1099"/>
      <c r="S5" s="1099"/>
      <c r="T5" s="1099"/>
      <c r="U5" s="1099"/>
      <c r="V5" s="1099"/>
      <c r="W5" s="1099"/>
      <c r="X5" s="1099"/>
      <c r="Y5" s="1100"/>
      <c r="Z5" s="963"/>
      <c r="AA5" s="959"/>
      <c r="AB5" s="963"/>
    </row>
    <row r="6" spans="1:28" ht="15" customHeight="1">
      <c r="A6" s="964"/>
      <c r="B6" s="1088" t="s">
        <v>3</v>
      </c>
      <c r="C6" s="1091"/>
      <c r="D6" s="965"/>
      <c r="E6" s="965"/>
      <c r="F6" s="965"/>
      <c r="G6" s="965"/>
      <c r="H6" s="965"/>
      <c r="I6" s="965"/>
      <c r="J6" s="965"/>
      <c r="K6" s="965"/>
      <c r="L6" s="965"/>
      <c r="M6" s="965"/>
      <c r="N6" s="965"/>
      <c r="O6" s="965"/>
      <c r="P6" s="965"/>
      <c r="Q6" s="965"/>
      <c r="R6" s="965"/>
      <c r="S6" s="965"/>
      <c r="T6" s="965"/>
      <c r="U6" s="965"/>
      <c r="V6" s="965"/>
      <c r="W6" s="965"/>
      <c r="X6" s="965"/>
      <c r="Y6" s="966"/>
      <c r="Z6" s="967"/>
      <c r="AA6" s="968"/>
      <c r="AB6" s="968"/>
    </row>
    <row r="7" spans="1:28" ht="15" customHeight="1">
      <c r="A7" s="964"/>
      <c r="B7" s="1088"/>
      <c r="C7" s="1091"/>
      <c r="D7" s="965"/>
      <c r="E7" s="965"/>
      <c r="F7" s="969"/>
      <c r="G7" s="969"/>
      <c r="H7" s="969"/>
      <c r="I7" s="969"/>
      <c r="J7" s="969"/>
      <c r="K7" s="969"/>
      <c r="L7" s="969"/>
      <c r="M7" s="969"/>
      <c r="N7" s="969"/>
      <c r="O7" s="965"/>
      <c r="P7" s="969"/>
      <c r="Q7" s="969"/>
      <c r="R7" s="969"/>
      <c r="S7" s="969"/>
      <c r="T7" s="969"/>
      <c r="U7" s="969"/>
      <c r="V7" s="969"/>
      <c r="W7" s="969"/>
      <c r="X7" s="969"/>
      <c r="Y7" s="966"/>
      <c r="Z7" s="967"/>
      <c r="AA7" s="968"/>
      <c r="AB7" s="968"/>
    </row>
    <row r="8" spans="1:28" ht="15" customHeight="1">
      <c r="A8" s="964"/>
      <c r="B8" s="1088"/>
      <c r="C8" s="1091"/>
      <c r="D8" s="970"/>
      <c r="E8" s="971" t="s">
        <v>4</v>
      </c>
      <c r="F8" s="1101" t="s">
        <v>5</v>
      </c>
      <c r="G8" s="1090"/>
      <c r="H8" s="1090"/>
      <c r="I8" s="1090"/>
      <c r="J8" s="1090"/>
      <c r="K8" s="1090"/>
      <c r="L8" s="1090"/>
      <c r="M8" s="1090"/>
      <c r="N8" s="970"/>
      <c r="O8" s="972" t="s">
        <v>4</v>
      </c>
      <c r="P8" s="1102" t="s">
        <v>6</v>
      </c>
      <c r="Q8" s="1103"/>
      <c r="R8" s="1103"/>
      <c r="S8" s="1103"/>
      <c r="T8" s="1103"/>
      <c r="U8" s="1103"/>
      <c r="V8" s="1103"/>
      <c r="W8" s="1103"/>
      <c r="X8" s="1103"/>
      <c r="Y8" s="966"/>
      <c r="Z8" s="967"/>
      <c r="AA8" s="968"/>
      <c r="AB8" s="968"/>
    </row>
    <row r="9" spans="1:28" ht="15" customHeight="1">
      <c r="A9" s="964"/>
      <c r="B9" s="1088"/>
      <c r="C9" s="1091"/>
      <c r="D9" s="970"/>
      <c r="E9" s="973" t="s">
        <v>4</v>
      </c>
      <c r="F9" s="1101" t="s">
        <v>7</v>
      </c>
      <c r="G9" s="1090"/>
      <c r="H9" s="1090"/>
      <c r="I9" s="1090"/>
      <c r="J9" s="1090"/>
      <c r="K9" s="1090"/>
      <c r="L9" s="1090"/>
      <c r="M9" s="1090"/>
      <c r="N9" s="970"/>
      <c r="O9" s="974" t="s">
        <v>4</v>
      </c>
      <c r="P9" s="1102" t="s">
        <v>8</v>
      </c>
      <c r="Q9" s="1103"/>
      <c r="R9" s="1103"/>
      <c r="S9" s="1103"/>
      <c r="T9" s="1103"/>
      <c r="U9" s="1103"/>
      <c r="V9" s="1103"/>
      <c r="W9" s="1103"/>
      <c r="X9" s="1103"/>
      <c r="Y9" s="966"/>
      <c r="Z9" s="967"/>
      <c r="AA9" s="968"/>
      <c r="AB9" s="968"/>
    </row>
    <row r="10" spans="1:28" ht="30" customHeight="1">
      <c r="A10" s="964"/>
      <c r="B10" s="1088"/>
      <c r="C10" s="1089"/>
      <c r="D10" s="975"/>
      <c r="E10" s="976"/>
      <c r="F10" s="969"/>
      <c r="G10" s="969"/>
      <c r="H10" s="969"/>
      <c r="I10" s="969"/>
      <c r="J10" s="969"/>
      <c r="K10" s="969"/>
      <c r="L10" s="969"/>
      <c r="M10" s="969"/>
      <c r="N10" s="969"/>
      <c r="O10" s="976"/>
      <c r="P10" s="969"/>
      <c r="Q10" s="969"/>
      <c r="R10" s="969"/>
      <c r="S10" s="969"/>
      <c r="T10" s="969"/>
      <c r="U10" s="969"/>
      <c r="V10" s="969"/>
      <c r="W10" s="969"/>
      <c r="X10" s="969"/>
      <c r="Y10" s="966"/>
      <c r="Z10" s="967"/>
      <c r="AA10" s="968"/>
      <c r="AB10" s="968"/>
    </row>
    <row r="11" spans="1:28" ht="19.5" customHeight="1">
      <c r="A11" s="964"/>
      <c r="B11" s="1" t="s">
        <v>9</v>
      </c>
      <c r="C11" s="2"/>
      <c r="D11" s="970"/>
      <c r="E11" s="977"/>
      <c r="F11" s="977"/>
      <c r="G11" s="977"/>
      <c r="H11" s="977"/>
      <c r="I11" s="977"/>
      <c r="J11" s="977"/>
      <c r="K11" s="977"/>
      <c r="L11" s="977"/>
      <c r="M11" s="977"/>
      <c r="N11" s="977"/>
      <c r="O11" s="977"/>
      <c r="P11" s="977"/>
      <c r="Q11" s="977"/>
      <c r="R11" s="977"/>
      <c r="S11" s="977"/>
      <c r="T11" s="977"/>
      <c r="U11" s="977"/>
      <c r="V11" s="977"/>
      <c r="W11" s="977"/>
      <c r="X11" s="977"/>
      <c r="Y11" s="966"/>
      <c r="Z11" s="967"/>
      <c r="AA11" s="968"/>
      <c r="AB11" s="968"/>
    </row>
    <row r="12" spans="1:28" ht="69" customHeight="1">
      <c r="A12" s="964"/>
      <c r="B12" s="1088"/>
      <c r="C12" s="1089"/>
      <c r="D12" s="978"/>
      <c r="E12" s="1090" t="s">
        <v>10</v>
      </c>
      <c r="F12" s="1090"/>
      <c r="G12" s="1090"/>
      <c r="H12" s="1090"/>
      <c r="I12" s="1090"/>
      <c r="J12" s="1090"/>
      <c r="K12" s="1090"/>
      <c r="L12" s="1090"/>
      <c r="M12" s="1090"/>
      <c r="N12" s="1090"/>
      <c r="O12" s="1090"/>
      <c r="P12" s="1090"/>
      <c r="Q12" s="1090"/>
      <c r="R12" s="1090"/>
      <c r="S12" s="1090"/>
      <c r="T12" s="1090"/>
      <c r="U12" s="1090"/>
      <c r="V12" s="1090"/>
      <c r="W12" s="1090"/>
      <c r="X12" s="1090"/>
      <c r="Y12" s="966"/>
      <c r="Z12" s="967"/>
      <c r="AA12" s="968"/>
      <c r="AB12" s="968"/>
    </row>
    <row r="13" spans="1:28" ht="15" customHeight="1">
      <c r="A13" s="964"/>
      <c r="B13" s="1" t="s">
        <v>11</v>
      </c>
      <c r="C13" s="2"/>
      <c r="D13" s="965"/>
      <c r="E13" s="977"/>
      <c r="F13" s="977"/>
      <c r="G13" s="977"/>
      <c r="H13" s="977"/>
      <c r="I13" s="977"/>
      <c r="J13" s="977"/>
      <c r="K13" s="977"/>
      <c r="L13" s="977"/>
      <c r="M13" s="977"/>
      <c r="N13" s="977"/>
      <c r="O13" s="977"/>
      <c r="P13" s="977"/>
      <c r="Q13" s="977"/>
      <c r="R13" s="977"/>
      <c r="S13" s="977"/>
      <c r="T13" s="977"/>
      <c r="U13" s="977"/>
      <c r="V13" s="977"/>
      <c r="W13" s="977"/>
      <c r="X13" s="977"/>
      <c r="Y13" s="966"/>
      <c r="Z13" s="967"/>
      <c r="AA13" s="968"/>
      <c r="AB13" s="968"/>
    </row>
    <row r="14" spans="1:28" ht="57" customHeight="1">
      <c r="A14" s="964"/>
      <c r="B14" s="1088"/>
      <c r="C14" s="1091"/>
      <c r="D14" s="970"/>
      <c r="E14" s="1094" t="s">
        <v>12</v>
      </c>
      <c r="F14" s="1094"/>
      <c r="G14" s="1094"/>
      <c r="H14" s="1094"/>
      <c r="I14" s="1094"/>
      <c r="J14" s="1094"/>
      <c r="K14" s="1094"/>
      <c r="L14" s="1094"/>
      <c r="M14" s="1094"/>
      <c r="N14" s="1094"/>
      <c r="O14" s="1094"/>
      <c r="P14" s="1094"/>
      <c r="Q14" s="1094"/>
      <c r="R14" s="1094"/>
      <c r="S14" s="1094"/>
      <c r="T14" s="1094"/>
      <c r="U14" s="1094"/>
      <c r="V14" s="1094"/>
      <c r="W14" s="1094"/>
      <c r="X14" s="1094"/>
      <c r="Y14" s="966"/>
      <c r="Z14" s="967"/>
      <c r="AA14" s="968"/>
      <c r="AB14" s="968"/>
    </row>
    <row r="15" spans="1:28" ht="16.5" customHeight="1">
      <c r="A15" s="964"/>
      <c r="B15" s="1092"/>
      <c r="C15" s="1093"/>
      <c r="D15" s="979"/>
      <c r="E15" s="980"/>
      <c r="F15" s="980"/>
      <c r="G15" s="980"/>
      <c r="H15" s="980"/>
      <c r="I15" s="980"/>
      <c r="J15" s="980"/>
      <c r="K15" s="980"/>
      <c r="L15" s="980"/>
      <c r="M15" s="980"/>
      <c r="N15" s="980"/>
      <c r="O15" s="980"/>
      <c r="P15" s="980"/>
      <c r="Q15" s="980"/>
      <c r="R15" s="980"/>
      <c r="S15" s="980"/>
      <c r="T15" s="980"/>
      <c r="U15" s="980"/>
      <c r="V15" s="980"/>
      <c r="W15" s="980"/>
      <c r="X15" s="980"/>
      <c r="Y15" s="981"/>
      <c r="Z15" s="967"/>
      <c r="AA15" s="982"/>
      <c r="AB15" s="968"/>
    </row>
    <row r="16" spans="1:28" ht="95.25" customHeight="1">
      <c r="A16" s="957"/>
      <c r="B16" s="1094"/>
      <c r="C16" s="1095"/>
      <c r="D16" s="1095"/>
      <c r="E16" s="1095"/>
      <c r="F16" s="1095"/>
      <c r="G16" s="1095"/>
      <c r="H16" s="1095"/>
      <c r="I16" s="1095"/>
      <c r="J16" s="1095"/>
      <c r="K16" s="1095"/>
      <c r="L16" s="1095"/>
      <c r="M16" s="1095"/>
      <c r="N16" s="1095"/>
      <c r="O16" s="1095"/>
      <c r="P16" s="1095"/>
      <c r="Q16" s="1095"/>
      <c r="R16" s="1095"/>
      <c r="S16" s="1095"/>
      <c r="T16" s="1095"/>
      <c r="U16" s="1095"/>
      <c r="V16" s="1095"/>
      <c r="W16" s="1095"/>
      <c r="X16" s="1095"/>
      <c r="Y16" s="1095"/>
      <c r="Z16" s="957"/>
      <c r="AA16" s="959"/>
      <c r="AB16" s="957"/>
    </row>
    <row r="17" spans="1:28" ht="14.25" customHeight="1">
      <c r="A17" s="957"/>
      <c r="B17" s="957"/>
      <c r="C17" s="957"/>
      <c r="D17" s="957"/>
      <c r="E17" s="957"/>
      <c r="F17" s="957"/>
      <c r="G17" s="957"/>
      <c r="H17" s="957"/>
      <c r="I17" s="957"/>
      <c r="J17" s="957"/>
      <c r="K17" s="957"/>
      <c r="L17" s="957"/>
      <c r="M17" s="957"/>
      <c r="N17" s="957"/>
      <c r="O17" s="957"/>
      <c r="P17" s="957"/>
      <c r="Q17" s="957"/>
      <c r="R17" s="957"/>
      <c r="S17" s="957"/>
      <c r="T17" s="957"/>
      <c r="U17" s="957"/>
      <c r="V17" s="957"/>
      <c r="W17" s="957"/>
      <c r="X17" s="957"/>
      <c r="Y17" s="958"/>
      <c r="Z17" s="957"/>
      <c r="AA17" s="959"/>
      <c r="AB17" s="957"/>
    </row>
    <row r="18" spans="1:28" ht="14.25" customHeight="1">
      <c r="A18" s="957"/>
      <c r="B18" s="957"/>
      <c r="C18" s="957"/>
      <c r="D18" s="957"/>
      <c r="E18" s="957"/>
      <c r="F18" s="957"/>
      <c r="G18" s="957"/>
      <c r="H18" s="957"/>
      <c r="I18" s="957"/>
      <c r="J18" s="957"/>
      <c r="K18" s="957"/>
      <c r="L18" s="957"/>
      <c r="M18" s="957"/>
      <c r="N18" s="957"/>
      <c r="O18" s="957"/>
      <c r="P18" s="957"/>
      <c r="Q18" s="957"/>
      <c r="R18" s="957"/>
      <c r="S18" s="957"/>
      <c r="T18" s="957"/>
      <c r="U18" s="957"/>
      <c r="V18" s="957"/>
      <c r="W18" s="957"/>
      <c r="X18" s="957"/>
      <c r="Y18" s="958"/>
      <c r="Z18" s="957"/>
      <c r="AA18" s="959"/>
      <c r="AB18" s="957"/>
    </row>
    <row r="19" spans="1:28" ht="14.25" customHeight="1">
      <c r="A19" s="957"/>
      <c r="B19" s="957"/>
      <c r="C19" s="957"/>
      <c r="D19" s="957"/>
      <c r="E19" s="957"/>
      <c r="F19" s="957"/>
      <c r="G19" s="957"/>
      <c r="H19" s="957"/>
      <c r="I19" s="957"/>
      <c r="J19" s="957"/>
      <c r="K19" s="957"/>
      <c r="L19" s="957"/>
      <c r="M19" s="957"/>
      <c r="N19" s="957"/>
      <c r="O19" s="957"/>
      <c r="P19" s="957"/>
      <c r="Q19" s="957"/>
      <c r="R19" s="957"/>
      <c r="S19" s="957"/>
      <c r="T19" s="957"/>
      <c r="U19" s="957"/>
      <c r="V19" s="957"/>
      <c r="W19" s="957"/>
      <c r="X19" s="957"/>
      <c r="Y19" s="958"/>
      <c r="Z19" s="957"/>
      <c r="AA19" s="959"/>
      <c r="AB19" s="957"/>
    </row>
    <row r="20" spans="1:28" ht="14.25" customHeight="1">
      <c r="A20" s="957"/>
      <c r="B20" s="957"/>
      <c r="C20" s="957"/>
      <c r="D20" s="957"/>
      <c r="E20" s="957"/>
      <c r="F20" s="957"/>
      <c r="G20" s="957"/>
      <c r="H20" s="957"/>
      <c r="I20" s="957"/>
      <c r="J20" s="957"/>
      <c r="K20" s="957"/>
      <c r="L20" s="957"/>
      <c r="M20" s="957"/>
      <c r="N20" s="957"/>
      <c r="O20" s="957"/>
      <c r="P20" s="957"/>
      <c r="Q20" s="957"/>
      <c r="R20" s="957"/>
      <c r="S20" s="957"/>
      <c r="T20" s="957"/>
      <c r="U20" s="957"/>
      <c r="V20" s="957"/>
      <c r="W20" s="957"/>
      <c r="X20" s="957"/>
      <c r="Y20" s="958"/>
      <c r="Z20" s="957"/>
      <c r="AA20" s="959"/>
      <c r="AB20" s="957"/>
    </row>
    <row r="21" spans="1:28" ht="14.25" customHeight="1">
      <c r="A21" s="957"/>
      <c r="B21" s="957"/>
      <c r="C21" s="957"/>
      <c r="D21" s="957"/>
      <c r="E21" s="957"/>
      <c r="F21" s="957"/>
      <c r="G21" s="957"/>
      <c r="H21" s="957"/>
      <c r="I21" s="957"/>
      <c r="J21" s="957"/>
      <c r="K21" s="957"/>
      <c r="L21" s="957"/>
      <c r="M21" s="957"/>
      <c r="N21" s="957"/>
      <c r="O21" s="957"/>
      <c r="P21" s="957"/>
      <c r="Q21" s="957"/>
      <c r="R21" s="957"/>
      <c r="S21" s="957"/>
      <c r="T21" s="957"/>
      <c r="U21" s="957"/>
      <c r="V21" s="957"/>
      <c r="W21" s="957"/>
      <c r="X21" s="957"/>
      <c r="Y21" s="958"/>
      <c r="Z21" s="957"/>
      <c r="AA21" s="959"/>
      <c r="AB21" s="957"/>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546C5F-B843-40E3-731F-ED07A63BB85A}">
  <sheetPr>
    <tabColor theme="3" tint="0.59999389629810485"/>
  </sheetPr>
  <dimension ref="A1:V15"/>
  <sheetViews>
    <sheetView showGridLines="0" topLeftCell="D3" zoomScale="90" workbookViewId="0"/>
  </sheetViews>
  <sheetFormatPr defaultColWidth="10.5703125" defaultRowHeight="14.25" customHeight="1"/>
  <cols>
    <col min="1" max="1" width="9.140625" style="54" hidden="1" customWidth="1"/>
    <col min="2" max="3" width="9.140625" style="24" hidden="1" customWidth="1"/>
    <col min="4" max="4" width="3.7109375" style="86" customWidth="1"/>
    <col min="5" max="5" width="6.28515625" style="24" customWidth="1"/>
    <col min="6" max="6" width="1.7109375" style="24" hidden="1" customWidth="1"/>
    <col min="7" max="8" width="30.7109375" style="24" customWidth="1"/>
    <col min="9" max="9" width="9" style="24" customWidth="1"/>
    <col min="10" max="10" width="12.140625" style="24" customWidth="1"/>
    <col min="11" max="11" width="46.7109375" style="24" customWidth="1"/>
    <col min="12" max="12" width="100.28515625" style="24" customWidth="1"/>
    <col min="13" max="13" width="7.5703125" style="55" customWidth="1"/>
    <col min="14" max="22" width="10.5703125" style="24"/>
  </cols>
  <sheetData>
    <row r="1" spans="1:22" s="77" customFormat="1" ht="5.25" hidden="1" customHeight="1">
      <c r="D1" s="127"/>
      <c r="G1" s="77" t="s">
        <v>83</v>
      </c>
      <c r="H1" s="77" t="s">
        <v>84</v>
      </c>
      <c r="I1" s="77" t="s">
        <v>85</v>
      </c>
      <c r="P1" s="77" t="s">
        <v>83</v>
      </c>
      <c r="Q1" s="77" t="s">
        <v>84</v>
      </c>
      <c r="R1" s="77" t="s">
        <v>85</v>
      </c>
    </row>
    <row r="2" spans="1:22" s="77" customFormat="1" ht="5.25" hidden="1" customHeight="1">
      <c r="D2" s="127"/>
    </row>
    <row r="3" spans="1:22" s="298" customFormat="1" ht="6" customHeight="1">
      <c r="A3" s="297"/>
      <c r="D3" s="304"/>
      <c r="E3" s="299"/>
      <c r="F3" s="299"/>
      <c r="G3" s="299"/>
      <c r="H3" s="299"/>
      <c r="I3" s="300"/>
      <c r="J3" s="301"/>
      <c r="K3" s="301"/>
      <c r="L3" s="301"/>
    </row>
    <row r="4" spans="1:22" ht="22.5" customHeight="1">
      <c r="D4" s="29"/>
      <c r="E4" s="1116" t="s">
        <v>382</v>
      </c>
      <c r="F4" s="1116"/>
      <c r="G4" s="1117"/>
      <c r="H4" s="1117"/>
      <c r="I4" s="1118"/>
      <c r="J4" s="306"/>
      <c r="K4" s="169"/>
      <c r="L4" s="169"/>
    </row>
    <row r="5" spans="1:22" s="24" customFormat="1" ht="17.25" customHeight="1">
      <c r="A5" s="54"/>
      <c r="D5" s="29"/>
      <c r="E5" s="1228" t="str">
        <f>IF(org=0,"Не определено",org)</f>
        <v>ООО "ТЕПЛО ПЛЮС"</v>
      </c>
      <c r="F5" s="1228"/>
      <c r="G5" s="1229"/>
      <c r="H5" s="1229"/>
      <c r="I5" s="1230"/>
      <c r="J5" s="306"/>
      <c r="K5" s="169"/>
      <c r="L5" s="169"/>
      <c r="M5" s="55"/>
    </row>
    <row r="6" spans="1:22" s="298" customFormat="1" ht="11.25" customHeight="1">
      <c r="A6" s="297"/>
      <c r="D6" s="304"/>
      <c r="E6" s="299"/>
      <c r="F6" s="299"/>
      <c r="G6" s="302"/>
      <c r="H6" s="302"/>
      <c r="I6" s="303"/>
      <c r="J6" s="303"/>
      <c r="K6" s="463"/>
      <c r="L6" s="303"/>
    </row>
    <row r="7" spans="1:22" ht="14.25" customHeight="1">
      <c r="D7" s="29"/>
      <c r="E7" s="1212" t="s">
        <v>292</v>
      </c>
      <c r="F7" s="1212"/>
      <c r="G7" s="1213"/>
      <c r="H7" s="1213"/>
      <c r="I7" s="1213"/>
      <c r="J7" s="1213"/>
      <c r="K7" s="1213"/>
      <c r="L7" s="1180" t="s">
        <v>293</v>
      </c>
    </row>
    <row r="8" spans="1:22" ht="45" customHeight="1">
      <c r="D8" s="29"/>
      <c r="E8" s="45" t="s">
        <v>88</v>
      </c>
      <c r="F8" s="45"/>
      <c r="G8" s="50" t="s">
        <v>86</v>
      </c>
      <c r="H8" s="50" t="s">
        <v>87</v>
      </c>
      <c r="I8" s="48" t="s">
        <v>85</v>
      </c>
      <c r="J8" s="48" t="s">
        <v>383</v>
      </c>
      <c r="K8" s="48" t="s">
        <v>384</v>
      </c>
      <c r="L8" s="1180"/>
    </row>
    <row r="9" spans="1:22" ht="12" hidden="1" customHeight="1">
      <c r="D9" s="305"/>
      <c r="E9" s="308"/>
      <c r="F9" s="308"/>
      <c r="G9" s="308"/>
      <c r="H9" s="308"/>
      <c r="I9" s="308"/>
      <c r="J9" s="308"/>
      <c r="K9" s="308"/>
      <c r="L9" s="308"/>
      <c r="M9" s="24"/>
    </row>
    <row r="10" spans="1:22" ht="14.25" hidden="1" customHeight="1">
      <c r="A10" s="24"/>
      <c r="D10" s="29"/>
      <c r="E10" s="50">
        <v>0</v>
      </c>
      <c r="F10" s="50"/>
      <c r="G10" s="74"/>
      <c r="H10" s="74"/>
      <c r="I10" s="74"/>
      <c r="J10" s="74"/>
      <c r="K10" s="74"/>
      <c r="L10" s="1226" t="s">
        <v>385</v>
      </c>
    </row>
    <row r="11" spans="1:22" ht="15" hidden="1" customHeight="1">
      <c r="A11" s="1108"/>
      <c r="B11" s="43"/>
      <c r="C11" s="43"/>
      <c r="D11" s="536"/>
      <c r="E11" s="316"/>
      <c r="F11" s="316"/>
      <c r="G11" s="316"/>
      <c r="H11" s="316"/>
      <c r="I11" s="228"/>
      <c r="J11" s="317"/>
      <c r="K11" s="437"/>
      <c r="L11" s="1239"/>
      <c r="M11" s="77"/>
      <c r="N11" s="77"/>
      <c r="O11" s="77"/>
      <c r="P11" s="318"/>
      <c r="Q11" s="318"/>
      <c r="R11" s="319"/>
      <c r="S11" s="77"/>
      <c r="T11" s="77"/>
      <c r="U11" s="77"/>
      <c r="V11" s="77"/>
    </row>
    <row r="12" spans="1:22" s="298" customFormat="1" ht="14.25" customHeight="1">
      <c r="A12" s="1108"/>
      <c r="B12" s="43"/>
      <c r="C12" s="43"/>
      <c r="D12" s="537"/>
      <c r="E12" s="45">
        <v>1</v>
      </c>
      <c r="F12" s="535">
        <v>23</v>
      </c>
      <c r="G12" s="534"/>
      <c r="H12" s="489"/>
      <c r="I12" s="487"/>
      <c r="J12" s="321" t="s">
        <v>67</v>
      </c>
      <c r="K12" s="122" t="s">
        <v>17</v>
      </c>
      <c r="L12" s="1239"/>
      <c r="M12" s="77"/>
      <c r="N12" s="77"/>
      <c r="O12" s="77"/>
      <c r="P12" s="318" t="s">
        <v>386</v>
      </c>
      <c r="Q12" s="318" t="s">
        <v>387</v>
      </c>
      <c r="R12" s="319" t="s">
        <v>388</v>
      </c>
      <c r="S12" s="77" t="s">
        <v>389</v>
      </c>
      <c r="T12" s="77"/>
      <c r="U12" s="77"/>
      <c r="V12" s="77"/>
    </row>
    <row r="13" spans="1:22" ht="15" customHeight="1">
      <c r="A13" s="1108"/>
      <c r="D13" s="29"/>
      <c r="E13" s="159"/>
      <c r="F13" s="325"/>
      <c r="G13" s="62" t="s">
        <v>102</v>
      </c>
      <c r="H13" s="253"/>
      <c r="I13" s="253"/>
      <c r="J13" s="253"/>
      <c r="K13" s="252"/>
      <c r="L13" s="1227"/>
      <c r="M13" s="24"/>
    </row>
    <row r="14" spans="1:22" ht="11.25" customHeight="1">
      <c r="A14" s="297"/>
      <c r="B14" s="298"/>
      <c r="C14" s="298"/>
      <c r="D14" s="309"/>
      <c r="E14" s="298"/>
      <c r="F14" s="298"/>
      <c r="G14" s="298"/>
      <c r="H14" s="298"/>
      <c r="I14" s="298"/>
      <c r="J14" s="298"/>
      <c r="K14" s="298"/>
      <c r="L14" s="298"/>
      <c r="M14" s="298"/>
      <c r="N14" s="298"/>
      <c r="O14" s="298"/>
      <c r="P14" s="298"/>
      <c r="Q14" s="298"/>
      <c r="R14" s="298"/>
      <c r="S14" s="298"/>
      <c r="T14" s="298"/>
      <c r="U14" s="298"/>
      <c r="V14" s="298"/>
    </row>
    <row r="15" spans="1:22" ht="14.25" customHeight="1">
      <c r="D15" s="285"/>
      <c r="E15" s="210"/>
      <c r="F15" s="210"/>
      <c r="G15" s="40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285"/>
      <c r="I15" s="285"/>
      <c r="J15" s="285"/>
      <c r="K15" s="285"/>
      <c r="L15" s="285"/>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xr:uid="{00000000-0002-0000-0900-000000000000}">
      <formula1>900</formula1>
    </dataValidation>
    <dataValidation allowBlank="1" showInputMessage="1" showErrorMessage="1" prompt="Изменение значения по двойному щелчоку левой кнопки мыши" sqref="J12" xr:uid="{00000000-0002-0000-0900-000001000000}"/>
    <dataValidation type="decimal" allowBlank="1" showErrorMessage="1" errorTitle="Ошибка" error="Допускается ввод только неотрицательных чисел!" sqref="G10:K10" xr:uid="{00000000-0002-0000-0900-000002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4F450C-8401-6BBC-65B8-AAF4DF586E49}">
  <sheetPr>
    <tabColor rgb="FFFFCC99"/>
  </sheetPr>
  <dimension ref="A1:H34"/>
  <sheetViews>
    <sheetView showGridLines="0" workbookViewId="0"/>
  </sheetViews>
  <sheetFormatPr defaultColWidth="43.140625" defaultRowHeight="9" customHeight="1"/>
  <cols>
    <col min="1" max="3" width="43.140625" style="512"/>
    <col min="4" max="5" width="36.42578125" style="512" customWidth="1"/>
    <col min="6" max="8" width="36.42578125" style="607" customWidth="1"/>
  </cols>
  <sheetData>
    <row r="1" spans="1:8" ht="9" customHeight="1">
      <c r="A1" s="518" t="s">
        <v>390</v>
      </c>
      <c r="B1" s="518"/>
      <c r="C1" s="608" t="s">
        <v>391</v>
      </c>
      <c r="D1" s="606" t="s">
        <v>392</v>
      </c>
      <c r="E1" s="606" t="s">
        <v>393</v>
      </c>
      <c r="F1" s="606" t="s">
        <v>394</v>
      </c>
      <c r="G1" s="606" t="s">
        <v>395</v>
      </c>
      <c r="H1" s="606" t="s">
        <v>396</v>
      </c>
    </row>
    <row r="2" spans="1:8" ht="9" customHeight="1">
      <c r="A2" s="609" t="s">
        <v>397</v>
      </c>
      <c r="B2" s="609"/>
      <c r="C2" s="610" t="str">
        <f>INDEX(TEMPLATE_NUMBER_FORM_LIST,MATCH(TEMPLATE_SPHERE,TEMPLATE_SPHERE_LIST,0))</f>
        <v>16</v>
      </c>
      <c r="D2" s="609" t="s">
        <v>398</v>
      </c>
      <c r="E2" s="609" t="s">
        <v>150</v>
      </c>
      <c r="F2" s="611" t="s">
        <v>150</v>
      </c>
      <c r="G2" s="609" t="s">
        <v>150</v>
      </c>
      <c r="H2" s="612"/>
    </row>
    <row r="3" spans="1:8" ht="63" customHeight="1">
      <c r="A3" s="518"/>
      <c r="B3" s="518" t="s">
        <v>109</v>
      </c>
      <c r="C3" s="610" t="str">
        <f>IF(TEMPLATE_SPHERE="HEAT",D3,IF(TEMPLATE_SPHERE="TKO",H3,E3))</f>
        <v>Форма 16.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610" t="s">
        <v>399</v>
      </c>
      <c r="E3" s="610" t="str">
        <f>"Форма 10.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10.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611"/>
      <c r="G3" s="612"/>
      <c r="H3" s="518"/>
    </row>
    <row r="4" spans="1:8" ht="54" customHeight="1">
      <c r="A4" s="518" t="s">
        <v>400</v>
      </c>
      <c r="B4" s="518" t="s">
        <v>110</v>
      </c>
      <c r="C4" s="610" t="str">
        <f>IF(TEMPLATE_SPHERE="HEAT",D4,IF(TEMPLATE_SPHERE="TKO",H4,E4))</f>
        <v>Форма 1. Информация о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 (общая информация)</v>
      </c>
      <c r="D4" s="609" t="s">
        <v>401</v>
      </c>
      <c r="E4" s="610" t="str">
        <f>"Форма 1. Информация о регулируемой организации, осуществляющей "&amp;TEMPLATE_SPHERE_RUS_2&amp;"
(далее – регулируемая организация) (общая информация)"</f>
        <v>Форма 1. Информация о регулируемой организации, осуществляющей теплоснабжение
(далее – регулируемая организация) (общая информация)</v>
      </c>
      <c r="F4" s="609"/>
      <c r="G4" s="609"/>
      <c r="H4" s="518" t="s">
        <v>402</v>
      </c>
    </row>
    <row r="5" spans="1:8" ht="171" customHeight="1">
      <c r="A5" s="518" t="s">
        <v>403</v>
      </c>
      <c r="B5" s="518" t="s">
        <v>90</v>
      </c>
      <c r="C5" s="610" t="str">
        <f>IF(TEMPLATE_SPHERE="HEAT",D5,IF(TEMPLATE_SPHERE="TKO",H5,E5))</f>
        <v>Форма 17.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содержит сведения об условиях публичных договоров регулируемых организаций, а также сведения о договорах, заключенных в соответствии с частями 2.1 и 2.2 статьи 8 Федерального закона "О теплоснабжении",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 теплоснабжении", и (или) условиях договоров о подключении (технологическом присоединении) к системе теплоснабжения включает сведения об условиях публичных договоров, заключаемых единой теплоснабжающей организацией в ценовых зонах теплоснабжения</v>
      </c>
      <c r="D5" s="518" t="s">
        <v>404</v>
      </c>
      <c r="E5" s="521" t="str">
        <f>"Форма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612"/>
      <c r="G5" s="612"/>
      <c r="H5" s="518" t="s">
        <v>405</v>
      </c>
    </row>
    <row r="6" spans="1:8" ht="90" customHeight="1">
      <c r="A6" s="518" t="s">
        <v>406</v>
      </c>
      <c r="B6" s="518" t="s">
        <v>91</v>
      </c>
      <c r="C6" s="610"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518" t="s">
        <v>407</v>
      </c>
      <c r="E6" s="521" t="str">
        <f>"Форма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"&amp;TEMPLATE_SPHERE_RUS&amp;")"</f>
        <v>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теплоснабжения)</v>
      </c>
      <c r="F6" s="518"/>
      <c r="G6" s="518"/>
      <c r="H6" s="612"/>
    </row>
    <row r="7" spans="1:8" ht="45" customHeight="1">
      <c r="A7" s="518" t="s">
        <v>408</v>
      </c>
      <c r="B7" s="518" t="s">
        <v>111</v>
      </c>
      <c r="C7" s="610" t="str">
        <f>IF(TEMPLATE_SPHERE="HEAT",D7,E7)</f>
        <v>Форма 11. Информация о расходах на капитальный и текущий ремонт основных средств</v>
      </c>
      <c r="D7" s="518" t="s">
        <v>409</v>
      </c>
      <c r="E7" s="518" t="s">
        <v>410</v>
      </c>
      <c r="F7" s="612"/>
      <c r="G7" s="612"/>
      <c r="H7" s="612"/>
    </row>
    <row r="8" spans="1:8" ht="108" customHeight="1">
      <c r="A8" s="518" t="s">
        <v>411</v>
      </c>
      <c r="B8" s="518" t="s">
        <v>92</v>
      </c>
      <c r="C8" s="610"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518" t="s">
        <v>412</v>
      </c>
      <c r="E8" s="518" t="s">
        <v>413</v>
      </c>
      <c r="F8" s="612"/>
      <c r="G8" s="612"/>
      <c r="H8" s="612"/>
    </row>
    <row r="9" spans="1:8" ht="99" customHeight="1">
      <c r="A9" s="518" t="s">
        <v>414</v>
      </c>
      <c r="B9" s="518"/>
      <c r="C9" s="518" t="s">
        <v>415</v>
      </c>
      <c r="D9" s="518"/>
      <c r="E9" s="518"/>
      <c r="F9" s="612"/>
      <c r="G9" s="612"/>
      <c r="H9" s="612"/>
    </row>
    <row r="10" spans="1:8" ht="117" customHeight="1">
      <c r="A10" s="518" t="s">
        <v>416</v>
      </c>
      <c r="B10" s="518"/>
      <c r="C10" s="518" t="s">
        <v>417</v>
      </c>
      <c r="D10" s="518"/>
      <c r="E10" s="518"/>
      <c r="F10" s="612"/>
      <c r="G10" s="612"/>
      <c r="H10" s="612"/>
    </row>
    <row r="11" spans="1:8" ht="108" customHeight="1">
      <c r="A11" s="518" t="s">
        <v>418</v>
      </c>
      <c r="B11" s="518"/>
      <c r="C11" s="518" t="s">
        <v>419</v>
      </c>
      <c r="D11" s="518"/>
      <c r="E11" s="518"/>
      <c r="F11" s="612"/>
      <c r="G11" s="612"/>
      <c r="H11" s="612"/>
    </row>
    <row r="12" spans="1:8" ht="54" customHeight="1">
      <c r="A12" s="518" t="s">
        <v>420</v>
      </c>
      <c r="B12" s="518"/>
      <c r="C12" s="518" t="s">
        <v>421</v>
      </c>
      <c r="D12" s="518"/>
      <c r="E12" s="518"/>
      <c r="F12" s="612"/>
      <c r="G12" s="612"/>
      <c r="H12" s="612"/>
    </row>
    <row r="13" spans="1:8" ht="99" customHeight="1">
      <c r="A13" s="518" t="s">
        <v>422</v>
      </c>
      <c r="B13" s="518"/>
      <c r="C13" s="518" t="s">
        <v>423</v>
      </c>
      <c r="D13" s="518"/>
      <c r="E13" s="518"/>
      <c r="F13" s="612"/>
      <c r="G13" s="612"/>
      <c r="H13" s="612"/>
    </row>
    <row r="14" spans="1:8" ht="99" customHeight="1">
      <c r="A14" s="518" t="s">
        <v>424</v>
      </c>
      <c r="B14" s="518"/>
      <c r="C14" s="518" t="s">
        <v>425</v>
      </c>
      <c r="D14" s="518"/>
      <c r="E14" s="518"/>
      <c r="F14" s="612"/>
      <c r="G14" s="612"/>
      <c r="H14" s="612"/>
    </row>
    <row r="15" spans="1:8" ht="117" customHeight="1">
      <c r="A15" s="518" t="s">
        <v>426</v>
      </c>
      <c r="B15" s="518"/>
      <c r="C15" s="518" t="s">
        <v>427</v>
      </c>
      <c r="D15" s="518"/>
      <c r="E15" s="518"/>
      <c r="F15" s="612"/>
      <c r="G15" s="612"/>
      <c r="H15" s="612"/>
    </row>
    <row r="16" spans="1:8" ht="54" customHeight="1">
      <c r="A16" s="518" t="s">
        <v>428</v>
      </c>
      <c r="B16" s="518"/>
      <c r="C16" s="518" t="s">
        <v>429</v>
      </c>
      <c r="D16" s="518"/>
      <c r="E16" s="518"/>
      <c r="F16" s="612"/>
      <c r="G16" s="612"/>
      <c r="H16" s="612"/>
    </row>
    <row r="17" spans="1:8" ht="63" customHeight="1">
      <c r="A17" s="518" t="s">
        <v>430</v>
      </c>
      <c r="B17" s="518"/>
      <c r="C17" s="610" t="s">
        <v>431</v>
      </c>
      <c r="D17" s="518"/>
      <c r="E17" s="518"/>
      <c r="F17" s="612"/>
      <c r="G17" s="612"/>
      <c r="H17" s="612"/>
    </row>
    <row r="18" spans="1:8" ht="27" customHeight="1">
      <c r="A18" s="518" t="s">
        <v>432</v>
      </c>
      <c r="B18" s="518"/>
      <c r="C18" s="610" t="s">
        <v>433</v>
      </c>
      <c r="D18" s="518"/>
      <c r="E18" s="518"/>
      <c r="F18" s="612"/>
      <c r="G18" s="612"/>
      <c r="H18" s="612"/>
    </row>
    <row r="19" spans="1:8" ht="54" customHeight="1">
      <c r="A19" s="518" t="s">
        <v>434</v>
      </c>
      <c r="B19" s="518"/>
      <c r="C19" s="610" t="s">
        <v>435</v>
      </c>
      <c r="D19" s="518"/>
      <c r="E19" s="518"/>
      <c r="F19" s="612"/>
      <c r="G19" s="612"/>
      <c r="H19" s="612"/>
    </row>
    <row r="20" spans="1:8" ht="36" customHeight="1">
      <c r="A20" s="518" t="s">
        <v>436</v>
      </c>
      <c r="B20" s="518"/>
      <c r="C20" s="610" t="s">
        <v>437</v>
      </c>
      <c r="D20" s="518"/>
      <c r="E20" s="518"/>
      <c r="F20" s="612"/>
      <c r="G20" s="612"/>
      <c r="H20" s="612"/>
    </row>
    <row r="21" spans="1:8" ht="28.5" customHeight="1">
      <c r="A21" s="518" t="s">
        <v>438</v>
      </c>
      <c r="B21" s="518"/>
      <c r="C21" s="610" t="s">
        <v>439</v>
      </c>
      <c r="D21" s="518"/>
      <c r="E21" s="518"/>
      <c r="F21" s="612"/>
      <c r="G21" s="612"/>
      <c r="H21" s="612"/>
    </row>
    <row r="22" spans="1:8" ht="28.5" customHeight="1">
      <c r="A22" s="518" t="s">
        <v>440</v>
      </c>
      <c r="B22" s="518"/>
      <c r="C22" s="610" t="s">
        <v>441</v>
      </c>
      <c r="D22" s="518"/>
      <c r="E22" s="518"/>
      <c r="F22" s="612"/>
      <c r="G22" s="612"/>
      <c r="H22" s="612"/>
    </row>
    <row r="23" spans="1:8" ht="28.5" customHeight="1">
      <c r="A23" s="518" t="s">
        <v>442</v>
      </c>
      <c r="B23" s="518"/>
      <c r="C23" s="610" t="s">
        <v>443</v>
      </c>
      <c r="D23" s="518"/>
      <c r="E23" s="518"/>
      <c r="F23" s="612"/>
      <c r="G23" s="612"/>
      <c r="H23" s="612"/>
    </row>
    <row r="24" spans="1:8" ht="28.5" customHeight="1">
      <c r="A24" s="518" t="s">
        <v>444</v>
      </c>
      <c r="B24" s="518"/>
      <c r="C24" s="610" t="s">
        <v>445</v>
      </c>
      <c r="D24" s="518"/>
      <c r="E24" s="518"/>
      <c r="F24" s="612"/>
      <c r="G24" s="612"/>
      <c r="H24" s="612"/>
    </row>
    <row r="25" spans="1:8" ht="28.5" customHeight="1">
      <c r="A25" s="518" t="s">
        <v>446</v>
      </c>
      <c r="B25" s="518"/>
      <c r="C25" s="610" t="s">
        <v>447</v>
      </c>
      <c r="D25" s="518"/>
      <c r="E25" s="518"/>
      <c r="F25" s="612"/>
      <c r="G25" s="612"/>
      <c r="H25" s="612"/>
    </row>
    <row r="26" spans="1:8" ht="28.5" customHeight="1">
      <c r="A26" s="518" t="s">
        <v>448</v>
      </c>
      <c r="B26" s="518"/>
      <c r="C26" s="610" t="s">
        <v>449</v>
      </c>
      <c r="D26" s="518"/>
      <c r="E26" s="518"/>
      <c r="F26" s="612"/>
      <c r="G26" s="612"/>
      <c r="H26" s="612"/>
    </row>
    <row r="27" spans="1:8" ht="28.5" customHeight="1">
      <c r="A27" s="518" t="s">
        <v>450</v>
      </c>
      <c r="B27" s="518"/>
      <c r="C27" s="610" t="s">
        <v>451</v>
      </c>
      <c r="D27" s="518"/>
      <c r="E27" s="518"/>
      <c r="F27" s="612"/>
      <c r="G27" s="612"/>
      <c r="H27" s="612"/>
    </row>
    <row r="28" spans="1:8" ht="28.5" customHeight="1">
      <c r="A28" s="518" t="s">
        <v>452</v>
      </c>
      <c r="B28" s="518"/>
      <c r="C28" s="610" t="s">
        <v>453</v>
      </c>
      <c r="D28" s="518"/>
      <c r="E28" s="518"/>
      <c r="F28" s="612"/>
      <c r="G28" s="612"/>
      <c r="H28" s="612"/>
    </row>
    <row r="29" spans="1:8" ht="126" customHeight="1">
      <c r="A29" s="518" t="s">
        <v>454</v>
      </c>
      <c r="B29" s="518" t="s">
        <v>455</v>
      </c>
      <c r="C29" s="610" t="str">
        <f>IF(TEMPLATE_SPHERE="HEAT",D29,IF(TEMPLATE_SPHERE="TKO",H29,E29))</f>
        <v>Форма 19.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518" t="s">
        <v>456</v>
      </c>
      <c r="E29" s="521" t="str">
        <f>"Форма 13. Информация о способах приобретения, стоимости и об объемах товаров (работ, услуг), необходимых организации "&amp;TEMPLATE_SPHERE_RUS&amp;"для производства товаров (оказания услуг) в сфере "&amp;TEMPLATE_SPHERE_RUS&amp;", тарифы на которые подлежат регулированию, содержит сведения о правовых актах, регламентирующих правила закупки (положение о закупке) в организации "&amp;TEMPLATE_SPHERE_RUS&amp;" и о месте их размещения, а также сведения о планировании закупок и результатах их проведения"</f>
        <v>Форма 13. Информация о способах приобретения, стоимости и об объемах товаров (работ, услуг), необходимых организации теплоснабжениядля производства товаров (оказания услуг) в сфере теплоснабжения, тарифы на которые подлежат регулированию, содержит сведения о правовых актах, регламентирующих правила закупки (положение о закупке) в организации теплоснабжения и о месте их размещения, а также сведения о планировании закупок и результатах их проведения</v>
      </c>
      <c r="F29" s="612"/>
      <c r="G29" s="612"/>
      <c r="H29" s="518" t="s">
        <v>457</v>
      </c>
    </row>
    <row r="30" spans="1:8" ht="36" customHeight="1">
      <c r="A30" s="518" t="s">
        <v>458</v>
      </c>
      <c r="B30" s="518"/>
      <c r="C30" s="610" t="str">
        <f>IF(TEMPLATE_SPHERE="HEAT",D30,IF(TEMPLATE_SPHERE="TKO",H30,E30))</f>
        <v>Форма 18.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 &lt;1&gt;</v>
      </c>
      <c r="D30" s="518" t="s">
        <v>459</v>
      </c>
      <c r="E30" s="521" t="str">
        <f>"Форма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"&amp;TEMPLATE_SPHERE_RUS&amp;" &lt;1&gt;"</f>
        <v>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 &lt;1&gt;</v>
      </c>
      <c r="F30" s="612"/>
      <c r="G30" s="612"/>
      <c r="H30" s="612"/>
    </row>
    <row r="31" spans="1:8" ht="9" customHeight="1">
      <c r="A31" s="518"/>
      <c r="B31" s="518"/>
      <c r="C31" s="610"/>
      <c r="D31" s="518"/>
      <c r="E31" s="518"/>
      <c r="F31" s="612"/>
      <c r="G31" s="612"/>
      <c r="H31" s="612"/>
    </row>
    <row r="32" spans="1:8" ht="9" customHeight="1">
      <c r="A32" s="518"/>
      <c r="B32" s="518"/>
      <c r="C32" s="610"/>
      <c r="D32" s="518"/>
      <c r="E32" s="518"/>
      <c r="F32" s="612"/>
      <c r="G32" s="612"/>
      <c r="H32" s="612"/>
    </row>
    <row r="33" spans="1:8" ht="9" customHeight="1">
      <c r="A33" s="518"/>
      <c r="B33" s="518"/>
      <c r="C33" s="610"/>
      <c r="D33" s="518"/>
      <c r="E33" s="518"/>
      <c r="F33" s="612"/>
      <c r="G33" s="612"/>
      <c r="H33" s="612"/>
    </row>
    <row r="34" spans="1:8" ht="9" customHeight="1">
      <c r="A34" s="518"/>
      <c r="B34" s="518" t="s">
        <v>460</v>
      </c>
      <c r="C34" s="610">
        <f>INDEX(TEMPLATE_NAME_FORM_LIST,B34,MATCH(TEMPLATE_SPHERE,TEMPLATE_SPHERE_LIST,0))</f>
        <v>0</v>
      </c>
      <c r="D34" s="518"/>
      <c r="E34" s="518"/>
      <c r="F34" s="612"/>
      <c r="G34" s="612"/>
      <c r="H34" s="612"/>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399B03-0BD4-C6FE-5337-E3FD39E958C6}">
  <sheetPr>
    <tabColor rgb="FFFFCC99"/>
  </sheetPr>
  <dimension ref="A1:AH154"/>
  <sheetViews>
    <sheetView showGridLines="0" workbookViewId="0"/>
  </sheetViews>
  <sheetFormatPr defaultColWidth="9.140625" defaultRowHeight="9" customHeight="1"/>
  <cols>
    <col min="1" max="2" width="9.140625" style="512"/>
    <col min="3" max="7" width="8" style="514" customWidth="1"/>
    <col min="8" max="12" width="8.5703125" style="514" customWidth="1"/>
    <col min="13" max="14" width="27.7109375" style="514" customWidth="1"/>
    <col min="15" max="19" width="5.140625" style="514" customWidth="1"/>
    <col min="20" max="24" width="27.7109375" style="514" customWidth="1"/>
    <col min="25" max="25" width="1.85546875" style="627" customWidth="1"/>
    <col min="26" max="26" width="27.7109375" style="512" customWidth="1"/>
    <col min="27" max="27" width="27.7109375" style="523" customWidth="1"/>
    <col min="28" max="29" width="27.7109375" style="512" customWidth="1"/>
    <col min="30" max="30" width="3.85546875" style="512" customWidth="1"/>
    <col min="31" max="34" width="9.140625" style="512"/>
  </cols>
  <sheetData>
    <row r="1" spans="1:34" s="511" customFormat="1" ht="18" customHeight="1">
      <c r="A1" s="559"/>
      <c r="B1" s="559"/>
      <c r="C1" s="559" t="s">
        <v>461</v>
      </c>
      <c r="D1" s="559"/>
      <c r="E1" s="559"/>
      <c r="F1" s="559"/>
      <c r="G1" s="559"/>
      <c r="H1" s="559" t="s">
        <v>462</v>
      </c>
      <c r="I1" s="559"/>
      <c r="J1" s="559"/>
      <c r="K1" s="559"/>
      <c r="L1" s="559"/>
      <c r="M1" s="559" t="s">
        <v>463</v>
      </c>
      <c r="N1" s="559" t="s">
        <v>464</v>
      </c>
      <c r="O1" s="1240" t="s">
        <v>465</v>
      </c>
      <c r="P1" s="1240"/>
      <c r="Q1" s="1240"/>
      <c r="R1" s="1240"/>
      <c r="S1" s="1240"/>
      <c r="T1" s="1240" t="s">
        <v>463</v>
      </c>
      <c r="U1" s="1240"/>
      <c r="V1" s="1240"/>
      <c r="W1" s="1240"/>
      <c r="X1" s="1240"/>
      <c r="Y1" s="625"/>
      <c r="Z1" s="1240" t="s">
        <v>466</v>
      </c>
      <c r="AA1" s="1240"/>
      <c r="AB1" s="1240"/>
      <c r="AC1" s="1240"/>
      <c r="AD1" s="1240"/>
    </row>
    <row r="2" spans="1:34" ht="18" customHeight="1">
      <c r="A2" s="518"/>
      <c r="B2" s="518"/>
      <c r="C2" s="513" t="s">
        <v>392</v>
      </c>
      <c r="D2" s="513" t="s">
        <v>393</v>
      </c>
      <c r="E2" s="513" t="s">
        <v>394</v>
      </c>
      <c r="F2" s="513" t="s">
        <v>395</v>
      </c>
      <c r="G2" s="513" t="s">
        <v>396</v>
      </c>
      <c r="H2" s="515"/>
      <c r="I2" s="515"/>
      <c r="J2" s="515"/>
      <c r="K2" s="515"/>
      <c r="L2" s="515"/>
      <c r="M2" s="515"/>
      <c r="N2" s="515"/>
      <c r="O2" s="513" t="s">
        <v>392</v>
      </c>
      <c r="P2" s="513" t="s">
        <v>393</v>
      </c>
      <c r="Q2" s="513" t="s">
        <v>395</v>
      </c>
      <c r="R2" s="513" t="s">
        <v>394</v>
      </c>
      <c r="S2" s="513" t="s">
        <v>396</v>
      </c>
      <c r="T2" s="513" t="s">
        <v>392</v>
      </c>
      <c r="U2" s="513" t="s">
        <v>393</v>
      </c>
      <c r="V2" s="513" t="s">
        <v>395</v>
      </c>
      <c r="W2" s="513" t="s">
        <v>394</v>
      </c>
      <c r="X2" s="513" t="s">
        <v>396</v>
      </c>
      <c r="Y2" s="513"/>
      <c r="Z2" s="513" t="s">
        <v>392</v>
      </c>
      <c r="AA2" s="522" t="s">
        <v>393</v>
      </c>
      <c r="AB2" s="513" t="s">
        <v>395</v>
      </c>
      <c r="AC2" s="513" t="s">
        <v>394</v>
      </c>
      <c r="AD2" s="513" t="s">
        <v>396</v>
      </c>
    </row>
    <row r="3" spans="1:34" ht="162" customHeight="1">
      <c r="A3" s="517" t="s">
        <v>22</v>
      </c>
      <c r="B3" s="517"/>
      <c r="C3" s="1244" t="s">
        <v>467</v>
      </c>
      <c r="D3" s="1245"/>
      <c r="E3" s="1245"/>
      <c r="F3" s="1246"/>
      <c r="G3" s="515"/>
      <c r="H3" s="515"/>
      <c r="I3" s="515"/>
      <c r="J3" s="515"/>
      <c r="K3" s="515"/>
      <c r="L3" s="515"/>
      <c r="M3" s="515"/>
      <c r="N3" s="51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515"/>
      <c r="P3" s="515"/>
      <c r="Q3" s="515"/>
      <c r="R3" s="515"/>
      <c r="S3" s="515"/>
      <c r="T3" s="515"/>
      <c r="U3" s="515"/>
      <c r="V3" s="515"/>
      <c r="W3" s="515"/>
      <c r="X3" s="515"/>
      <c r="Y3" s="626"/>
      <c r="Z3" s="518" t="s">
        <v>468</v>
      </c>
      <c r="AA3" s="515" t="s">
        <v>469</v>
      </c>
      <c r="AB3" s="518" t="s">
        <v>470</v>
      </c>
      <c r="AC3" s="518" t="s">
        <v>471</v>
      </c>
      <c r="AD3" s="518"/>
      <c r="AG3" s="518"/>
      <c r="AH3" s="518"/>
    </row>
    <row r="4" spans="1:34" ht="9" customHeight="1">
      <c r="A4" s="517"/>
      <c r="B4" s="517"/>
      <c r="C4" s="515"/>
      <c r="D4" s="515"/>
      <c r="E4" s="515"/>
      <c r="F4" s="515"/>
      <c r="G4" s="515"/>
      <c r="H4" s="515"/>
      <c r="I4" s="515"/>
      <c r="J4" s="515"/>
      <c r="K4" s="515"/>
      <c r="L4" s="515"/>
      <c r="M4" s="515"/>
      <c r="N4" s="515"/>
      <c r="O4" s="515"/>
      <c r="P4" s="515"/>
      <c r="Q4" s="515"/>
      <c r="R4" s="515"/>
      <c r="S4" s="515"/>
      <c r="T4" s="515"/>
      <c r="U4" s="515"/>
      <c r="V4" s="515"/>
      <c r="W4" s="515"/>
      <c r="X4" s="515"/>
      <c r="Y4" s="626"/>
      <c r="Z4" s="518"/>
      <c r="AA4" s="521"/>
      <c r="AB4" s="518"/>
      <c r="AC4" s="518"/>
      <c r="AD4" s="518"/>
    </row>
    <row r="5" spans="1:34" ht="9" customHeight="1">
      <c r="A5" s="517"/>
      <c r="B5" s="517"/>
      <c r="C5" s="515"/>
      <c r="D5" s="515"/>
      <c r="E5" s="515"/>
      <c r="F5" s="515"/>
      <c r="G5" s="515"/>
      <c r="H5" s="515"/>
      <c r="I5" s="515"/>
      <c r="J5" s="515"/>
      <c r="K5" s="515"/>
      <c r="L5" s="515"/>
      <c r="M5" s="515"/>
      <c r="N5" s="515"/>
      <c r="O5" s="515"/>
      <c r="P5" s="515"/>
      <c r="Q5" s="515"/>
      <c r="R5" s="515"/>
      <c r="S5" s="515"/>
      <c r="T5" s="515"/>
      <c r="U5" s="515"/>
      <c r="V5" s="515"/>
      <c r="W5" s="515"/>
      <c r="X5" s="515"/>
      <c r="Y5" s="626"/>
      <c r="Z5" s="518"/>
      <c r="AA5" s="521"/>
      <c r="AB5" s="518"/>
      <c r="AC5" s="518"/>
      <c r="AD5" s="518"/>
    </row>
    <row r="6" spans="1:34" ht="9" customHeight="1">
      <c r="A6" s="517"/>
      <c r="B6" s="517"/>
      <c r="C6" s="515"/>
      <c r="D6" s="515"/>
      <c r="E6" s="515"/>
      <c r="F6" s="515"/>
      <c r="G6" s="515"/>
      <c r="H6" s="515"/>
      <c r="I6" s="515"/>
      <c r="J6" s="515"/>
      <c r="K6" s="515"/>
      <c r="L6" s="515"/>
      <c r="M6" s="515"/>
      <c r="N6" s="515"/>
      <c r="O6" s="515"/>
      <c r="P6" s="515"/>
      <c r="Q6" s="515"/>
      <c r="R6" s="515"/>
      <c r="S6" s="515"/>
      <c r="T6" s="515"/>
      <c r="U6" s="515"/>
      <c r="V6" s="515"/>
      <c r="W6" s="515"/>
      <c r="X6" s="515"/>
      <c r="Y6" s="626"/>
      <c r="Z6" s="518"/>
      <c r="AA6" s="521"/>
      <c r="AB6" s="518"/>
      <c r="AC6" s="518"/>
      <c r="AD6" s="518"/>
    </row>
    <row r="7" spans="1:34" ht="9" customHeight="1">
      <c r="A7" s="517"/>
      <c r="B7" s="517"/>
      <c r="C7" s="515"/>
      <c r="D7" s="515"/>
      <c r="E7" s="515"/>
      <c r="F7" s="515"/>
      <c r="G7" s="515"/>
      <c r="H7" s="515"/>
      <c r="I7" s="515"/>
      <c r="J7" s="515"/>
      <c r="K7" s="515"/>
      <c r="L7" s="515"/>
      <c r="M7" s="515"/>
      <c r="N7" s="515"/>
      <c r="O7" s="515"/>
      <c r="P7" s="515"/>
      <c r="Q7" s="515"/>
      <c r="R7" s="515"/>
      <c r="S7" s="515"/>
      <c r="T7" s="515"/>
      <c r="U7" s="515"/>
      <c r="V7" s="515"/>
      <c r="W7" s="515"/>
      <c r="X7" s="515"/>
      <c r="Y7" s="626"/>
      <c r="Z7" s="518"/>
      <c r="AA7" s="521"/>
      <c r="AB7" s="518"/>
      <c r="AC7" s="518"/>
      <c r="AD7" s="518"/>
    </row>
    <row r="8" spans="1:34" ht="9" customHeight="1">
      <c r="A8" s="517"/>
      <c r="B8" s="517"/>
      <c r="C8" s="515"/>
      <c r="D8" s="515"/>
      <c r="E8" s="515"/>
      <c r="F8" s="515"/>
      <c r="G8" s="515"/>
      <c r="H8" s="515"/>
      <c r="I8" s="515"/>
      <c r="J8" s="515"/>
      <c r="K8" s="515"/>
      <c r="L8" s="515"/>
      <c r="M8" s="515"/>
      <c r="N8" s="515"/>
      <c r="O8" s="515"/>
      <c r="P8" s="515"/>
      <c r="Q8" s="515"/>
      <c r="R8" s="515"/>
      <c r="S8" s="515"/>
      <c r="T8" s="515"/>
      <c r="U8" s="515"/>
      <c r="V8" s="515"/>
      <c r="W8" s="515"/>
      <c r="X8" s="515"/>
      <c r="Y8" s="626"/>
      <c r="Z8" s="518"/>
      <c r="AA8" s="521"/>
      <c r="AB8" s="518"/>
      <c r="AC8" s="518"/>
      <c r="AD8" s="518"/>
    </row>
    <row r="9" spans="1:34" ht="9" customHeight="1">
      <c r="A9" s="517"/>
      <c r="B9" s="517"/>
      <c r="C9" s="515"/>
      <c r="D9" s="515"/>
      <c r="E9" s="515"/>
      <c r="F9" s="515"/>
      <c r="G9" s="515"/>
      <c r="H9" s="515"/>
      <c r="I9" s="515"/>
      <c r="J9" s="515"/>
      <c r="K9" s="515"/>
      <c r="L9" s="515"/>
      <c r="M9" s="515"/>
      <c r="N9" s="515"/>
      <c r="O9" s="515"/>
      <c r="P9" s="515"/>
      <c r="Q9" s="515"/>
      <c r="R9" s="515"/>
      <c r="S9" s="515"/>
      <c r="T9" s="515"/>
      <c r="U9" s="515"/>
      <c r="V9" s="515"/>
      <c r="W9" s="515"/>
      <c r="X9" s="515"/>
      <c r="Y9" s="626"/>
      <c r="Z9" s="518"/>
      <c r="AA9" s="521"/>
      <c r="AB9" s="518"/>
      <c r="AC9" s="518"/>
      <c r="AD9" s="518"/>
    </row>
    <row r="10" spans="1:34" ht="9" customHeight="1">
      <c r="A10" s="560"/>
      <c r="B10" s="560"/>
      <c r="C10" s="560"/>
      <c r="D10" s="560"/>
      <c r="E10" s="560"/>
      <c r="F10" s="560"/>
      <c r="G10" s="560"/>
      <c r="H10" s="560"/>
      <c r="I10" s="560"/>
      <c r="J10" s="560"/>
      <c r="K10" s="560"/>
      <c r="L10" s="560"/>
      <c r="M10" s="560"/>
      <c r="N10" s="560"/>
      <c r="O10" s="560"/>
      <c r="P10" s="560"/>
      <c r="Q10" s="560"/>
      <c r="R10" s="560"/>
      <c r="S10" s="560"/>
      <c r="T10" s="560"/>
      <c r="U10" s="560"/>
      <c r="V10" s="560"/>
      <c r="W10" s="560"/>
      <c r="X10" s="560"/>
      <c r="Y10" s="560"/>
      <c r="Z10" s="560"/>
      <c r="AA10" s="560"/>
      <c r="AB10" s="560"/>
      <c r="AC10" s="560"/>
      <c r="AD10" s="560"/>
    </row>
    <row r="11" spans="1:34" ht="45" customHeight="1">
      <c r="A11" s="1241" t="s">
        <v>28</v>
      </c>
      <c r="B11" s="560">
        <v>1</v>
      </c>
      <c r="C11" s="1247" t="s">
        <v>472</v>
      </c>
      <c r="D11" s="1247" t="s">
        <v>473</v>
      </c>
      <c r="E11" s="1247" t="s">
        <v>474</v>
      </c>
      <c r="F11" s="1247" t="s">
        <v>475</v>
      </c>
      <c r="G11" s="1247"/>
      <c r="H11" s="559" t="s">
        <v>476</v>
      </c>
      <c r="I11" s="559"/>
      <c r="J11" s="559"/>
      <c r="K11" s="559"/>
      <c r="L11" s="559"/>
      <c r="M11" s="516" t="str">
        <f>IF(TEMPLATE_SPHERE="HEAT",T11,U11)</f>
        <v>Количество поданных заявок</v>
      </c>
      <c r="N11" s="516"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515"/>
      <c r="P11" s="515"/>
      <c r="Q11" s="515"/>
      <c r="R11" s="515"/>
      <c r="S11" s="515"/>
      <c r="T11" s="515" t="s">
        <v>477</v>
      </c>
      <c r="U11" s="515" t="s">
        <v>478</v>
      </c>
      <c r="V11" s="515"/>
      <c r="W11" s="515"/>
      <c r="X11" s="515"/>
      <c r="Y11" s="626"/>
      <c r="Z11" s="518" t="s">
        <v>479</v>
      </c>
      <c r="AA11" s="52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518"/>
      <c r="AC11" s="518"/>
      <c r="AD11" s="518"/>
    </row>
    <row r="12" spans="1:34" ht="45" customHeight="1">
      <c r="A12" s="1241"/>
      <c r="B12" s="560">
        <v>2</v>
      </c>
      <c r="C12" s="1248"/>
      <c r="D12" s="1248"/>
      <c r="E12" s="1248"/>
      <c r="F12" s="1248"/>
      <c r="G12" s="1248"/>
      <c r="H12" s="559" t="s">
        <v>480</v>
      </c>
      <c r="I12" s="559"/>
      <c r="J12" s="559"/>
      <c r="K12" s="559"/>
      <c r="L12" s="559"/>
      <c r="M12" s="516" t="str">
        <f>IF(TEMPLATE_SPHERE="HEAT",T12,U12)</f>
        <v>Количество рассмотренных заявок</v>
      </c>
      <c r="N12" s="516"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515"/>
      <c r="P12" s="515"/>
      <c r="Q12" s="515"/>
      <c r="R12" s="515"/>
      <c r="S12" s="515"/>
      <c r="T12" s="515" t="s">
        <v>481</v>
      </c>
      <c r="U12" s="515" t="s">
        <v>482</v>
      </c>
      <c r="V12" s="515"/>
      <c r="W12" s="515"/>
      <c r="X12" s="515"/>
      <c r="Y12" s="626"/>
      <c r="Z12" s="518" t="s">
        <v>483</v>
      </c>
      <c r="AA12" s="52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518"/>
      <c r="AC12" s="518"/>
      <c r="AD12" s="518"/>
    </row>
    <row r="13" spans="1:34" ht="72" customHeight="1">
      <c r="A13" s="1241"/>
      <c r="B13" s="560">
        <v>3</v>
      </c>
      <c r="C13" s="1248"/>
      <c r="D13" s="1248"/>
      <c r="E13" s="1248"/>
      <c r="F13" s="1248"/>
      <c r="G13" s="1248"/>
      <c r="H13" s="1240" t="s">
        <v>484</v>
      </c>
      <c r="I13" s="559"/>
      <c r="J13" s="559"/>
      <c r="K13" s="559"/>
      <c r="L13" s="559"/>
      <c r="M13" s="51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516" t="str">
        <f t="shared" si="0"/>
        <v>Указывается количество заявок с решением об отказе в течение отчетного квартала.</v>
      </c>
      <c r="O13" s="515"/>
      <c r="P13" s="516"/>
      <c r="Q13" s="516"/>
      <c r="R13" s="516"/>
      <c r="S13" s="515"/>
      <c r="T13" s="515" t="s">
        <v>485</v>
      </c>
      <c r="U13" s="516" t="s">
        <v>486</v>
      </c>
      <c r="V13" s="516"/>
      <c r="W13" s="516"/>
      <c r="X13" s="515"/>
      <c r="Y13" s="626"/>
      <c r="Z13" s="518" t="s">
        <v>487</v>
      </c>
      <c r="AA13" s="52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518"/>
      <c r="AC13" s="518"/>
      <c r="AD13" s="518"/>
    </row>
    <row r="14" spans="1:34" ht="45" customHeight="1">
      <c r="A14" s="1241"/>
      <c r="B14" s="560">
        <v>4</v>
      </c>
      <c r="C14" s="1248"/>
      <c r="D14" s="1248"/>
      <c r="E14" s="1248"/>
      <c r="F14" s="1248"/>
      <c r="G14" s="1248"/>
      <c r="H14" s="1240"/>
      <c r="I14" s="562"/>
      <c r="J14" s="562"/>
      <c r="K14" s="562"/>
      <c r="L14" s="562"/>
      <c r="M14" s="519" t="str">
        <f>IF(TEMPLATE_SPHERE="HEAT",T14,U14)</f>
        <v>Причины отказа в заключении договора о подключении (технологическом присоединении) к системе теплоснабжения</v>
      </c>
      <c r="N14" s="516"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515"/>
      <c r="P14" s="516"/>
      <c r="Q14" s="516"/>
      <c r="R14" s="516"/>
      <c r="S14" s="515"/>
      <c r="T14" s="515" t="s">
        <v>488</v>
      </c>
      <c r="U14" s="51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516"/>
      <c r="W14" s="516"/>
      <c r="X14" s="515"/>
      <c r="Y14" s="626"/>
      <c r="Z14" s="518" t="s">
        <v>489</v>
      </c>
      <c r="AA14" s="521" t="s">
        <v>489</v>
      </c>
      <c r="AB14" s="518"/>
      <c r="AC14" s="518"/>
      <c r="AD14" s="518"/>
    </row>
    <row r="15" spans="1:34" ht="108" customHeight="1">
      <c r="A15" s="1241"/>
      <c r="B15" s="560">
        <v>5</v>
      </c>
      <c r="C15" s="1248"/>
      <c r="D15" s="1248"/>
      <c r="E15" s="1248"/>
      <c r="F15" s="1248"/>
      <c r="G15" s="1248"/>
      <c r="H15" s="1242" t="s">
        <v>490</v>
      </c>
      <c r="I15" s="561"/>
      <c r="J15" s="561"/>
      <c r="K15" s="561"/>
      <c r="L15" s="561"/>
      <c r="M15" s="521" t="str">
        <f>IF(TEMPLATE_SPHERE="HEAT",T15,U15)</f>
        <v>Резерв мощности источников тепловой энергии, входящих в систему теплоснабжения, в течение одного квартала, в том числе:</v>
      </c>
      <c r="N15" s="520"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515"/>
      <c r="P15" s="516"/>
      <c r="Q15" s="516"/>
      <c r="R15" s="516"/>
      <c r="S15" s="515"/>
      <c r="T15" s="515" t="s">
        <v>491</v>
      </c>
      <c r="U15" s="51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516"/>
      <c r="W15" s="516"/>
      <c r="X15" s="515"/>
      <c r="Y15" s="626"/>
      <c r="Z15" s="518" t="s">
        <v>492</v>
      </c>
      <c r="AA15" s="52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518"/>
      <c r="AC15" s="518"/>
      <c r="AD15" s="518"/>
    </row>
    <row r="16" spans="1:34" ht="108" customHeight="1">
      <c r="A16" s="560"/>
      <c r="B16" s="560">
        <v>6</v>
      </c>
      <c r="C16" s="1249"/>
      <c r="D16" s="1249"/>
      <c r="E16" s="1249"/>
      <c r="F16" s="1249"/>
      <c r="G16" s="1249"/>
      <c r="H16" s="1243"/>
      <c r="I16" s="591"/>
      <c r="J16" s="591"/>
      <c r="K16" s="591"/>
      <c r="L16" s="591"/>
      <c r="M16" s="556"/>
      <c r="N16" s="520"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515"/>
      <c r="P16" s="516"/>
      <c r="Q16" s="516"/>
      <c r="R16" s="516"/>
      <c r="S16" s="515"/>
      <c r="T16" s="515"/>
      <c r="U16" s="516"/>
      <c r="V16" s="516"/>
      <c r="W16" s="516"/>
      <c r="X16" s="515"/>
      <c r="Y16" s="626"/>
      <c r="Z16" s="518" t="s">
        <v>492</v>
      </c>
      <c r="AA16" s="52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518"/>
      <c r="AC16" s="518"/>
      <c r="AD16" s="518"/>
    </row>
    <row r="17" spans="1:30" ht="9" customHeight="1">
      <c r="A17" s="560"/>
      <c r="B17" s="560"/>
      <c r="C17" s="560">
        <v>22</v>
      </c>
      <c r="D17" s="560">
        <v>21</v>
      </c>
      <c r="E17" s="560">
        <v>42</v>
      </c>
      <c r="F17" s="560">
        <v>63</v>
      </c>
      <c r="G17" s="560"/>
      <c r="H17" s="560"/>
      <c r="I17" s="560"/>
      <c r="J17" s="560"/>
      <c r="K17" s="560"/>
      <c r="L17" s="560"/>
      <c r="M17" s="560"/>
      <c r="N17" s="560"/>
      <c r="O17" s="560"/>
      <c r="P17" s="560"/>
      <c r="Q17" s="560"/>
      <c r="R17" s="560"/>
      <c r="S17" s="560"/>
      <c r="T17" s="560"/>
      <c r="U17" s="560"/>
      <c r="V17" s="560"/>
      <c r="W17" s="560"/>
      <c r="X17" s="560"/>
      <c r="Y17" s="560"/>
      <c r="Z17" s="560"/>
      <c r="AA17" s="560"/>
      <c r="AB17" s="560"/>
      <c r="AC17" s="560"/>
      <c r="AD17" s="560"/>
    </row>
    <row r="18" spans="1:30" ht="27" customHeight="1">
      <c r="A18" s="517" t="s">
        <v>493</v>
      </c>
      <c r="B18" s="560">
        <v>1</v>
      </c>
      <c r="C18" s="515" t="s">
        <v>476</v>
      </c>
      <c r="D18" s="596" t="s">
        <v>476</v>
      </c>
      <c r="E18" s="515" t="s">
        <v>476</v>
      </c>
      <c r="F18" s="515" t="s">
        <v>476</v>
      </c>
      <c r="G18" s="515"/>
      <c r="H18" s="628"/>
      <c r="I18" s="629">
        <f t="shared" ref="I18:I49" si="1">INDEX(TEMPLATE_NUMBER_POINT_FHD,B18,MATCH(TEMPLATE_SPHERE,TEMPLATE_SPHERE_LIST_FOR_NOTE,0))</f>
        <v>1</v>
      </c>
      <c r="J18" s="629" t="str">
        <f t="shared" ref="J18:J49" si="2">INDEX(TEMPLATE_DATA_POINT_FHD,B18,MATCH(TEMPLATE_SPHERE,TEMPLATE_SPHERE_LIST_FOR_NOTE,0))</f>
        <v>Выручка от регулируемого вида деятельности с распределением по видам деятельности</v>
      </c>
      <c r="K18" s="629"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516">
        <f t="shared" ref="L18:L49" si="4">IF(I18=0,"",I18)</f>
        <v>1</v>
      </c>
      <c r="M18" s="516" t="str">
        <f t="shared" ref="M18:M49" si="5">IF(J18=0,"",J18)</f>
        <v>Выручка от регулируемого вида деятельности с распределением по видам деятельности</v>
      </c>
      <c r="N18" s="516" t="str">
        <f t="shared" ref="N18:N49" si="6">IF(K18=0,"",K18)</f>
        <v>Указывается выручка от регулируемого вида деятельности с распределением по видам деятельности.</v>
      </c>
      <c r="O18" s="586">
        <v>1</v>
      </c>
      <c r="P18" s="586">
        <v>1</v>
      </c>
      <c r="Q18" s="586">
        <v>1</v>
      </c>
      <c r="R18" s="586">
        <v>1</v>
      </c>
      <c r="S18" s="586"/>
      <c r="T18" s="593" t="s">
        <v>494</v>
      </c>
      <c r="U18" s="518" t="s">
        <v>495</v>
      </c>
      <c r="V18" s="518" t="s">
        <v>496</v>
      </c>
      <c r="W18" s="518" t="s">
        <v>497</v>
      </c>
      <c r="X18" s="515"/>
      <c r="Y18" s="626"/>
      <c r="Z18" s="518" t="s">
        <v>498</v>
      </c>
      <c r="AA18" s="521" t="s">
        <v>499</v>
      </c>
      <c r="AB18" s="521" t="s">
        <v>499</v>
      </c>
      <c r="AC18" s="521" t="s">
        <v>499</v>
      </c>
      <c r="AD18" s="518"/>
    </row>
    <row r="19" spans="1:30" ht="36" customHeight="1">
      <c r="A19" s="517"/>
      <c r="B19" s="560">
        <v>2</v>
      </c>
      <c r="C19" s="515" t="s">
        <v>480</v>
      </c>
      <c r="D19" s="596" t="s">
        <v>480</v>
      </c>
      <c r="E19" s="515" t="s">
        <v>480</v>
      </c>
      <c r="F19" s="515" t="s">
        <v>480</v>
      </c>
      <c r="G19" s="515"/>
      <c r="H19" s="628"/>
      <c r="I19" s="629">
        <f t="shared" si="1"/>
        <v>2</v>
      </c>
      <c r="J19" s="629" t="str">
        <f t="shared" si="2"/>
        <v>Себестоимость производимых товаров (оказываемых услуг) по регулируемому виду деятельности, включая:</v>
      </c>
      <c r="K19" s="629" t="str">
        <f t="shared" si="3"/>
        <v>Указывается суммарная себестоимость производимых товаров.</v>
      </c>
      <c r="L19" s="516">
        <f t="shared" si="4"/>
        <v>2</v>
      </c>
      <c r="M19" s="516" t="str">
        <f t="shared" si="5"/>
        <v>Себестоимость производимых товаров (оказываемых услуг) по регулируемому виду деятельности, включая:</v>
      </c>
      <c r="N19" s="516" t="str">
        <f t="shared" si="6"/>
        <v>Указывается суммарная себестоимость производимых товаров.</v>
      </c>
      <c r="O19" s="586">
        <v>2</v>
      </c>
      <c r="P19" s="586">
        <v>2</v>
      </c>
      <c r="Q19" s="586">
        <v>2</v>
      </c>
      <c r="R19" s="586">
        <v>2</v>
      </c>
      <c r="S19" s="586"/>
      <c r="T19" s="593" t="s">
        <v>500</v>
      </c>
      <c r="U19" s="518" t="s">
        <v>501</v>
      </c>
      <c r="V19" s="518" t="s">
        <v>502</v>
      </c>
      <c r="W19" s="518" t="s">
        <v>503</v>
      </c>
      <c r="X19" s="515"/>
      <c r="Y19" s="626"/>
      <c r="Z19" s="518" t="s">
        <v>504</v>
      </c>
      <c r="AA19" s="521" t="s">
        <v>504</v>
      </c>
      <c r="AB19" s="521" t="s">
        <v>504</v>
      </c>
      <c r="AC19" s="521" t="s">
        <v>504</v>
      </c>
      <c r="AD19" s="518"/>
    </row>
    <row r="20" spans="1:30" ht="27" customHeight="1">
      <c r="A20" s="517"/>
      <c r="B20" s="560">
        <v>3</v>
      </c>
      <c r="C20" s="515">
        <v>1</v>
      </c>
      <c r="D20" s="596"/>
      <c r="E20" s="515"/>
      <c r="F20" s="515"/>
      <c r="G20" s="515"/>
      <c r="H20" s="628"/>
      <c r="I20" s="629" t="str">
        <f t="shared" si="1"/>
        <v>2.1</v>
      </c>
      <c r="J20" s="629" t="str">
        <f t="shared" si="2"/>
        <v>Расходы на приобретаемую тепловую энергию (мощность), теплоноситель</v>
      </c>
      <c r="K20" s="629">
        <f t="shared" si="3"/>
        <v>0</v>
      </c>
      <c r="L20" s="516" t="str">
        <f t="shared" si="4"/>
        <v>2.1</v>
      </c>
      <c r="M20" s="516" t="str">
        <f t="shared" si="5"/>
        <v>Расходы на приобретаемую тепловую энергию (мощность), теплоноситель</v>
      </c>
      <c r="N20" s="516" t="str">
        <f t="shared" si="6"/>
        <v/>
      </c>
      <c r="O20" s="586" t="s">
        <v>505</v>
      </c>
      <c r="P20" s="586" t="s">
        <v>505</v>
      </c>
      <c r="Q20" s="586" t="s">
        <v>505</v>
      </c>
      <c r="R20" s="586" t="s">
        <v>505</v>
      </c>
      <c r="S20" s="586"/>
      <c r="T20" s="593" t="s">
        <v>506</v>
      </c>
      <c r="U20" s="518" t="s">
        <v>507</v>
      </c>
      <c r="V20" s="518" t="s">
        <v>508</v>
      </c>
      <c r="W20" s="518" t="s">
        <v>509</v>
      </c>
      <c r="X20" s="515"/>
      <c r="Y20" s="626"/>
      <c r="Z20" s="518"/>
      <c r="AA20" s="521"/>
      <c r="AB20" s="518"/>
      <c r="AC20" s="518"/>
      <c r="AD20" s="518"/>
    </row>
    <row r="21" spans="1:30" ht="36" customHeight="1">
      <c r="A21" s="517"/>
      <c r="B21" s="560">
        <v>4</v>
      </c>
      <c r="C21" s="515">
        <v>2</v>
      </c>
      <c r="D21" s="596"/>
      <c r="E21" s="515"/>
      <c r="F21" s="515"/>
      <c r="G21" s="515"/>
      <c r="H21" s="628"/>
      <c r="I21" s="629" t="str">
        <f t="shared" si="1"/>
        <v>2.2</v>
      </c>
      <c r="J21" s="629"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629" t="str">
        <f t="shared" si="3"/>
        <v>Указываются суммарные расходы на приобретение топлива всех видов.</v>
      </c>
      <c r="L21" s="516" t="str">
        <f t="shared" si="4"/>
        <v>2.2</v>
      </c>
      <c r="M21" s="516"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516" t="str">
        <f t="shared" si="6"/>
        <v>Указываются суммарные расходы на приобретение топлива всех видов.</v>
      </c>
      <c r="O21" s="586" t="s">
        <v>299</v>
      </c>
      <c r="P21" s="586"/>
      <c r="Q21" s="586"/>
      <c r="R21" s="586"/>
      <c r="S21" s="586"/>
      <c r="T21" s="593" t="s">
        <v>510</v>
      </c>
      <c r="U21" s="518"/>
      <c r="V21" s="518"/>
      <c r="W21" s="518"/>
      <c r="X21" s="515"/>
      <c r="Y21" s="626"/>
      <c r="Z21" s="518" t="s">
        <v>511</v>
      </c>
      <c r="AA21" s="521"/>
      <c r="AB21" s="518"/>
      <c r="AC21" s="518"/>
      <c r="AD21" s="518"/>
    </row>
    <row r="22" spans="1:30" ht="36" customHeight="1">
      <c r="A22" s="517"/>
      <c r="B22" s="560">
        <v>5</v>
      </c>
      <c r="C22" s="515">
        <v>3</v>
      </c>
      <c r="D22" s="596"/>
      <c r="E22" s="515"/>
      <c r="F22" s="515"/>
      <c r="G22" s="555"/>
      <c r="H22" s="587"/>
      <c r="I22" s="629">
        <f t="shared" si="1"/>
        <v>0</v>
      </c>
      <c r="J22" s="629">
        <f t="shared" si="2"/>
        <v>0</v>
      </c>
      <c r="K22" s="629">
        <f t="shared" si="3"/>
        <v>0</v>
      </c>
      <c r="L22" s="516" t="str">
        <f t="shared" si="4"/>
        <v/>
      </c>
      <c r="M22" s="516" t="str">
        <f t="shared" si="5"/>
        <v/>
      </c>
      <c r="N22" s="516" t="str">
        <f t="shared" si="6"/>
        <v/>
      </c>
      <c r="O22" s="586"/>
      <c r="P22" s="586"/>
      <c r="Q22" s="586" t="s">
        <v>299</v>
      </c>
      <c r="R22" s="586"/>
      <c r="S22" s="586"/>
      <c r="T22" s="593"/>
      <c r="U22" s="518"/>
      <c r="V22" s="518" t="s">
        <v>512</v>
      </c>
      <c r="W22" s="518"/>
      <c r="X22" s="515"/>
      <c r="Y22" s="626"/>
      <c r="Z22" s="518"/>
      <c r="AA22" s="521"/>
      <c r="AB22" s="518"/>
      <c r="AC22" s="518"/>
      <c r="AD22" s="518"/>
    </row>
    <row r="23" spans="1:30" ht="27" customHeight="1">
      <c r="A23" s="517"/>
      <c r="B23" s="560">
        <v>6</v>
      </c>
      <c r="C23" s="515">
        <v>4</v>
      </c>
      <c r="D23" s="596"/>
      <c r="E23" s="515"/>
      <c r="F23" s="515"/>
      <c r="G23" s="555"/>
      <c r="H23" s="587"/>
      <c r="I23" s="629">
        <f t="shared" si="1"/>
        <v>0</v>
      </c>
      <c r="J23" s="629">
        <f t="shared" si="2"/>
        <v>0</v>
      </c>
      <c r="K23" s="629">
        <f t="shared" si="3"/>
        <v>0</v>
      </c>
      <c r="L23" s="516" t="str">
        <f t="shared" si="4"/>
        <v/>
      </c>
      <c r="M23" s="516" t="str">
        <f t="shared" si="5"/>
        <v/>
      </c>
      <c r="N23" s="516" t="str">
        <f t="shared" si="6"/>
        <v/>
      </c>
      <c r="O23" s="586"/>
      <c r="P23" s="586"/>
      <c r="Q23" s="586" t="s">
        <v>302</v>
      </c>
      <c r="R23" s="586"/>
      <c r="S23" s="586"/>
      <c r="T23" s="593"/>
      <c r="U23" s="518"/>
      <c r="V23" s="518" t="s">
        <v>513</v>
      </c>
      <c r="W23" s="518"/>
      <c r="X23" s="515"/>
      <c r="Y23" s="626"/>
      <c r="Z23" s="518"/>
      <c r="AA23" s="521"/>
      <c r="AB23" s="518"/>
      <c r="AC23" s="518"/>
      <c r="AD23" s="518"/>
    </row>
    <row r="24" spans="1:30" ht="36" customHeight="1">
      <c r="A24" s="517"/>
      <c r="B24" s="560">
        <v>7</v>
      </c>
      <c r="C24" s="515">
        <v>5</v>
      </c>
      <c r="D24" s="596"/>
      <c r="E24" s="515"/>
      <c r="F24" s="515"/>
      <c r="G24" s="555"/>
      <c r="H24" s="587"/>
      <c r="I24" s="629">
        <f t="shared" si="1"/>
        <v>0</v>
      </c>
      <c r="J24" s="629">
        <f t="shared" si="2"/>
        <v>0</v>
      </c>
      <c r="K24" s="629">
        <f t="shared" si="3"/>
        <v>0</v>
      </c>
      <c r="L24" s="516" t="str">
        <f t="shared" si="4"/>
        <v/>
      </c>
      <c r="M24" s="516" t="str">
        <f t="shared" si="5"/>
        <v/>
      </c>
      <c r="N24" s="516" t="str">
        <f t="shared" si="6"/>
        <v/>
      </c>
      <c r="O24" s="586"/>
      <c r="P24" s="586"/>
      <c r="Q24" s="586" t="s">
        <v>514</v>
      </c>
      <c r="R24" s="586"/>
      <c r="S24" s="586"/>
      <c r="T24" s="593"/>
      <c r="U24" s="518"/>
      <c r="V24" s="518" t="s">
        <v>515</v>
      </c>
      <c r="W24" s="518"/>
      <c r="X24" s="515"/>
      <c r="Y24" s="626"/>
      <c r="Z24" s="518"/>
      <c r="AA24" s="521"/>
      <c r="AB24" s="518"/>
      <c r="AC24" s="518"/>
      <c r="AD24" s="518"/>
    </row>
    <row r="25" spans="1:30" ht="36" customHeight="1">
      <c r="A25" s="517"/>
      <c r="B25" s="560">
        <v>8</v>
      </c>
      <c r="C25" s="515">
        <v>6</v>
      </c>
      <c r="D25" s="596"/>
      <c r="E25" s="515"/>
      <c r="F25" s="515"/>
      <c r="G25" s="555"/>
      <c r="H25" s="587"/>
      <c r="I25" s="629" t="str">
        <f t="shared" si="1"/>
        <v>2.3</v>
      </c>
      <c r="J25" s="629" t="str">
        <f t="shared" si="2"/>
        <v>Расходы на приобретаемую электрическую энергию (мощность), используемую в технологическом процессе</v>
      </c>
      <c r="K25" s="629">
        <f t="shared" si="3"/>
        <v>0</v>
      </c>
      <c r="L25" s="516" t="str">
        <f t="shared" si="4"/>
        <v>2.3</v>
      </c>
      <c r="M25" s="516" t="str">
        <f t="shared" si="5"/>
        <v>Расходы на приобретаемую электрическую энергию (мощность), используемую в технологическом процессе</v>
      </c>
      <c r="N25" s="516" t="str">
        <f t="shared" si="6"/>
        <v/>
      </c>
      <c r="O25" s="586" t="s">
        <v>302</v>
      </c>
      <c r="P25" s="586" t="s">
        <v>299</v>
      </c>
      <c r="Q25" s="586" t="s">
        <v>516</v>
      </c>
      <c r="R25" s="586" t="s">
        <v>299</v>
      </c>
      <c r="S25" s="586"/>
      <c r="T25" s="593" t="s">
        <v>517</v>
      </c>
      <c r="U25" s="518" t="s">
        <v>517</v>
      </c>
      <c r="V25" s="518" t="s">
        <v>517</v>
      </c>
      <c r="W25" s="518" t="s">
        <v>517</v>
      </c>
      <c r="X25" s="515"/>
      <c r="Y25" s="626"/>
      <c r="Z25" s="518"/>
      <c r="AA25" s="521"/>
      <c r="AB25" s="518"/>
      <c r="AC25" s="518"/>
      <c r="AD25" s="518"/>
    </row>
    <row r="26" spans="1:30" ht="18" customHeight="1">
      <c r="A26" s="517"/>
      <c r="B26" s="560">
        <v>9</v>
      </c>
      <c r="C26" s="515" t="s">
        <v>518</v>
      </c>
      <c r="D26" s="596"/>
      <c r="E26" s="515"/>
      <c r="F26" s="515"/>
      <c r="G26" s="555"/>
      <c r="H26" s="587"/>
      <c r="I26" s="629" t="str">
        <f t="shared" si="1"/>
        <v>2.3.1</v>
      </c>
      <c r="J26" s="629" t="str">
        <f t="shared" si="2"/>
        <v>Средневзвешенная стоимость 1 кВт.ч (с учетом мощности)</v>
      </c>
      <c r="K26" s="629">
        <f t="shared" si="3"/>
        <v>0</v>
      </c>
      <c r="L26" s="516" t="str">
        <f t="shared" si="4"/>
        <v>2.3.1</v>
      </c>
      <c r="M26" s="516" t="str">
        <f t="shared" si="5"/>
        <v>Средневзвешенная стоимость 1 кВт.ч (с учетом мощности)</v>
      </c>
      <c r="N26" s="516" t="str">
        <f t="shared" si="6"/>
        <v/>
      </c>
      <c r="O26" s="586" t="s">
        <v>519</v>
      </c>
      <c r="P26" s="586" t="s">
        <v>520</v>
      </c>
      <c r="Q26" s="586" t="s">
        <v>521</v>
      </c>
      <c r="R26" s="586" t="s">
        <v>520</v>
      </c>
      <c r="S26" s="586"/>
      <c r="T26" s="593" t="s">
        <v>522</v>
      </c>
      <c r="U26" s="593" t="s">
        <v>522</v>
      </c>
      <c r="V26" s="593" t="s">
        <v>522</v>
      </c>
      <c r="W26" s="593" t="s">
        <v>522</v>
      </c>
      <c r="X26" s="515"/>
      <c r="Y26" s="626"/>
      <c r="Z26" s="518"/>
      <c r="AA26" s="521"/>
      <c r="AB26" s="518"/>
      <c r="AC26" s="518"/>
      <c r="AD26" s="518"/>
    </row>
    <row r="27" spans="1:30" ht="18" customHeight="1">
      <c r="A27" s="517"/>
      <c r="B27" s="560">
        <v>10</v>
      </c>
      <c r="C27" s="515" t="s">
        <v>523</v>
      </c>
      <c r="D27" s="596"/>
      <c r="E27" s="515"/>
      <c r="F27" s="515"/>
      <c r="G27" s="555"/>
      <c r="H27" s="587"/>
      <c r="I27" s="629" t="str">
        <f t="shared" si="1"/>
        <v>2.3.2</v>
      </c>
      <c r="J27" s="629" t="str">
        <f t="shared" si="2"/>
        <v>Объём приобретения электрической энергии</v>
      </c>
      <c r="K27" s="629">
        <f t="shared" si="3"/>
        <v>0</v>
      </c>
      <c r="L27" s="516" t="str">
        <f t="shared" si="4"/>
        <v>2.3.2</v>
      </c>
      <c r="M27" s="516" t="str">
        <f t="shared" si="5"/>
        <v>Объём приобретения электрической энергии</v>
      </c>
      <c r="N27" s="516" t="str">
        <f t="shared" si="6"/>
        <v/>
      </c>
      <c r="O27" s="586" t="s">
        <v>524</v>
      </c>
      <c r="P27" s="586" t="s">
        <v>525</v>
      </c>
      <c r="Q27" s="586" t="s">
        <v>526</v>
      </c>
      <c r="R27" s="586" t="s">
        <v>525</v>
      </c>
      <c r="S27" s="586"/>
      <c r="T27" s="593" t="s">
        <v>527</v>
      </c>
      <c r="U27" s="593" t="s">
        <v>527</v>
      </c>
      <c r="V27" s="593" t="s">
        <v>527</v>
      </c>
      <c r="W27" s="593" t="s">
        <v>527</v>
      </c>
      <c r="X27" s="515"/>
      <c r="Y27" s="626"/>
      <c r="Z27" s="518"/>
      <c r="AA27" s="521"/>
      <c r="AB27" s="518"/>
      <c r="AC27" s="518"/>
      <c r="AD27" s="518"/>
    </row>
    <row r="28" spans="1:30" ht="27" customHeight="1">
      <c r="A28" s="517"/>
      <c r="B28" s="560">
        <v>11</v>
      </c>
      <c r="C28" s="515">
        <v>7</v>
      </c>
      <c r="D28" s="596"/>
      <c r="E28" s="515"/>
      <c r="F28" s="515"/>
      <c r="G28" s="555"/>
      <c r="H28" s="587"/>
      <c r="I28" s="629" t="str">
        <f t="shared" si="1"/>
        <v>2.4</v>
      </c>
      <c r="J28" s="629" t="str">
        <f t="shared" si="2"/>
        <v>Расходы на приобретение холодной воды, используемой в технологическом процессе</v>
      </c>
      <c r="K28" s="629">
        <f t="shared" si="3"/>
        <v>0</v>
      </c>
      <c r="L28" s="516" t="str">
        <f t="shared" si="4"/>
        <v>2.4</v>
      </c>
      <c r="M28" s="516" t="str">
        <f t="shared" si="5"/>
        <v>Расходы на приобретение холодной воды, используемой в технологическом процессе</v>
      </c>
      <c r="N28" s="516" t="str">
        <f t="shared" si="6"/>
        <v/>
      </c>
      <c r="O28" s="586" t="s">
        <v>514</v>
      </c>
      <c r="P28" s="586"/>
      <c r="Q28" s="586"/>
      <c r="R28" s="586"/>
      <c r="S28" s="586"/>
      <c r="T28" s="593" t="s">
        <v>528</v>
      </c>
      <c r="U28" s="518"/>
      <c r="V28" s="518"/>
      <c r="W28" s="518"/>
      <c r="X28" s="515"/>
      <c r="Y28" s="626"/>
      <c r="Z28" s="518"/>
      <c r="AA28" s="521"/>
      <c r="AB28" s="518"/>
      <c r="AC28" s="518"/>
      <c r="AD28" s="518"/>
    </row>
    <row r="29" spans="1:30" ht="27" customHeight="1">
      <c r="A29" s="517"/>
      <c r="B29" s="560">
        <v>12</v>
      </c>
      <c r="C29" s="515">
        <v>8</v>
      </c>
      <c r="D29" s="596"/>
      <c r="E29" s="515"/>
      <c r="F29" s="515"/>
      <c r="G29" s="555"/>
      <c r="H29" s="587"/>
      <c r="I29" s="629" t="str">
        <f t="shared" si="1"/>
        <v>2.5</v>
      </c>
      <c r="J29" s="629" t="str">
        <f t="shared" si="2"/>
        <v>Расходы на химические реагенты, используемые в технологическом процессе</v>
      </c>
      <c r="K29" s="629">
        <f t="shared" si="3"/>
        <v>0</v>
      </c>
      <c r="L29" s="516" t="str">
        <f t="shared" si="4"/>
        <v>2.5</v>
      </c>
      <c r="M29" s="516" t="str">
        <f t="shared" si="5"/>
        <v>Расходы на химические реагенты, используемые в технологическом процессе</v>
      </c>
      <c r="N29" s="516" t="str">
        <f t="shared" si="6"/>
        <v/>
      </c>
      <c r="O29" s="586" t="s">
        <v>516</v>
      </c>
      <c r="P29" s="586" t="s">
        <v>302</v>
      </c>
      <c r="Q29" s="586"/>
      <c r="R29" s="586" t="s">
        <v>302</v>
      </c>
      <c r="S29" s="586"/>
      <c r="T29" s="593" t="s">
        <v>529</v>
      </c>
      <c r="U29" s="518" t="s">
        <v>529</v>
      </c>
      <c r="V29" s="518"/>
      <c r="W29" s="518" t="s">
        <v>529</v>
      </c>
      <c r="X29" s="515"/>
      <c r="Y29" s="626"/>
      <c r="Z29" s="518"/>
      <c r="AA29" s="521"/>
      <c r="AB29" s="518"/>
      <c r="AC29" s="518"/>
      <c r="AD29" s="518"/>
    </row>
    <row r="30" spans="1:30" ht="54" customHeight="1">
      <c r="A30" s="517"/>
      <c r="B30" s="560">
        <v>13</v>
      </c>
      <c r="C30" s="515">
        <v>9</v>
      </c>
      <c r="D30" s="596"/>
      <c r="E30" s="515"/>
      <c r="F30" s="515"/>
      <c r="G30" s="555"/>
      <c r="H30" s="587"/>
      <c r="I30" s="629" t="str">
        <f t="shared" si="1"/>
        <v>2.6</v>
      </c>
      <c r="J30" s="629"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629">
        <f t="shared" si="3"/>
        <v>0</v>
      </c>
      <c r="L30" s="516" t="str">
        <f t="shared" si="4"/>
        <v>2.6</v>
      </c>
      <c r="M30" s="516"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516" t="str">
        <f t="shared" si="6"/>
        <v/>
      </c>
      <c r="O30" s="586" t="s">
        <v>530</v>
      </c>
      <c r="P30" s="586" t="s">
        <v>514</v>
      </c>
      <c r="Q30" s="586" t="s">
        <v>530</v>
      </c>
      <c r="R30" s="586" t="s">
        <v>514</v>
      </c>
      <c r="S30" s="586"/>
      <c r="T30" s="593" t="s">
        <v>531</v>
      </c>
      <c r="U30" s="518" t="s">
        <v>531</v>
      </c>
      <c r="V30" s="518" t="s">
        <v>531</v>
      </c>
      <c r="W30" s="518" t="s">
        <v>531</v>
      </c>
      <c r="X30" s="515"/>
      <c r="Y30" s="626"/>
      <c r="Z30" s="518"/>
      <c r="AA30" s="521" t="s">
        <v>532</v>
      </c>
      <c r="AB30" s="521" t="s">
        <v>532</v>
      </c>
      <c r="AC30" s="521" t="s">
        <v>532</v>
      </c>
      <c r="AD30" s="518"/>
    </row>
    <row r="31" spans="1:30" ht="18" customHeight="1">
      <c r="A31" s="517"/>
      <c r="B31" s="560">
        <v>14</v>
      </c>
      <c r="C31" s="515" t="s">
        <v>533</v>
      </c>
      <c r="D31" s="596"/>
      <c r="E31" s="515"/>
      <c r="F31" s="515"/>
      <c r="G31" s="555"/>
      <c r="H31" s="587"/>
      <c r="I31" s="629" t="str">
        <f t="shared" si="1"/>
        <v>2.6.1</v>
      </c>
      <c r="J31" s="629" t="str">
        <f t="shared" si="2"/>
        <v>Расходы на оплату труда основного производственного персонала</v>
      </c>
      <c r="K31" s="629">
        <f t="shared" si="3"/>
        <v>0</v>
      </c>
      <c r="L31" s="516" t="str">
        <f t="shared" si="4"/>
        <v>2.6.1</v>
      </c>
      <c r="M31" s="516" t="str">
        <f t="shared" si="5"/>
        <v>Расходы на оплату труда основного производственного персонала</v>
      </c>
      <c r="N31" s="516" t="str">
        <f t="shared" si="6"/>
        <v/>
      </c>
      <c r="O31" s="586" t="s">
        <v>534</v>
      </c>
      <c r="P31" s="586" t="s">
        <v>535</v>
      </c>
      <c r="Q31" s="586" t="s">
        <v>534</v>
      </c>
      <c r="R31" s="586" t="s">
        <v>535</v>
      </c>
      <c r="S31" s="586"/>
      <c r="T31" s="594" t="s">
        <v>536</v>
      </c>
      <c r="U31" s="518" t="s">
        <v>536</v>
      </c>
      <c r="V31" s="518" t="s">
        <v>536</v>
      </c>
      <c r="W31" s="518" t="s">
        <v>536</v>
      </c>
      <c r="X31" s="515"/>
      <c r="Y31" s="626"/>
      <c r="Z31" s="518"/>
      <c r="AA31" s="521"/>
      <c r="AB31" s="521"/>
      <c r="AC31" s="521"/>
      <c r="AD31" s="518"/>
    </row>
    <row r="32" spans="1:30" ht="36" customHeight="1">
      <c r="A32" s="517"/>
      <c r="B32" s="560">
        <v>15</v>
      </c>
      <c r="C32" s="515" t="s">
        <v>537</v>
      </c>
      <c r="D32" s="596"/>
      <c r="E32" s="515"/>
      <c r="F32" s="515"/>
      <c r="G32" s="555"/>
      <c r="H32" s="587"/>
      <c r="I32" s="629" t="str">
        <f t="shared" si="1"/>
        <v>2.6.2</v>
      </c>
      <c r="J32" s="629" t="str">
        <f t="shared" si="2"/>
        <v>Страховые взносы на обязательное социальное страхование, выплачиваемые из фонда оплаты труда основного производственного персонала</v>
      </c>
      <c r="K32" s="629">
        <f t="shared" si="3"/>
        <v>0</v>
      </c>
      <c r="L32" s="516" t="str">
        <f t="shared" si="4"/>
        <v>2.6.2</v>
      </c>
      <c r="M32" s="516" t="str">
        <f t="shared" si="5"/>
        <v>Страховые взносы на обязательное социальное страхование, выплачиваемые из фонда оплаты труда основного производственного персонала</v>
      </c>
      <c r="N32" s="516" t="str">
        <f t="shared" si="6"/>
        <v/>
      </c>
      <c r="O32" s="586" t="s">
        <v>538</v>
      </c>
      <c r="P32" s="586" t="s">
        <v>539</v>
      </c>
      <c r="Q32" s="586" t="s">
        <v>538</v>
      </c>
      <c r="R32" s="586" t="s">
        <v>539</v>
      </c>
      <c r="S32" s="586"/>
      <c r="T32" s="595" t="s">
        <v>540</v>
      </c>
      <c r="U32" s="518" t="s">
        <v>540</v>
      </c>
      <c r="V32" s="518" t="s">
        <v>540</v>
      </c>
      <c r="W32" s="518" t="s">
        <v>540</v>
      </c>
      <c r="X32" s="515"/>
      <c r="Y32" s="626"/>
      <c r="Z32" s="518"/>
      <c r="AA32" s="521"/>
      <c r="AB32" s="521"/>
      <c r="AC32" s="521"/>
      <c r="AD32" s="518"/>
    </row>
    <row r="33" spans="1:30" ht="45" customHeight="1">
      <c r="A33" s="517"/>
      <c r="B33" s="560">
        <v>16</v>
      </c>
      <c r="C33" s="515">
        <v>10</v>
      </c>
      <c r="D33" s="596"/>
      <c r="E33" s="515"/>
      <c r="F33" s="515"/>
      <c r="G33" s="555"/>
      <c r="H33" s="587"/>
      <c r="I33" s="629" t="str">
        <f t="shared" si="1"/>
        <v>2.7</v>
      </c>
      <c r="J33" s="629"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629">
        <f t="shared" si="3"/>
        <v>0</v>
      </c>
      <c r="L33" s="516" t="str">
        <f t="shared" si="4"/>
        <v>2.7</v>
      </c>
      <c r="M33" s="516"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516" t="str">
        <f t="shared" si="6"/>
        <v/>
      </c>
      <c r="O33" s="586" t="s">
        <v>541</v>
      </c>
      <c r="P33" s="586" t="s">
        <v>516</v>
      </c>
      <c r="Q33" s="586" t="s">
        <v>541</v>
      </c>
      <c r="R33" s="586" t="s">
        <v>516</v>
      </c>
      <c r="S33" s="586"/>
      <c r="T33" s="594" t="s">
        <v>542</v>
      </c>
      <c r="U33" s="518" t="s">
        <v>542</v>
      </c>
      <c r="V33" s="518" t="s">
        <v>542</v>
      </c>
      <c r="W33" s="518" t="s">
        <v>543</v>
      </c>
      <c r="X33" s="515"/>
      <c r="Y33" s="626"/>
      <c r="Z33" s="518"/>
      <c r="AA33" s="521" t="s">
        <v>544</v>
      </c>
      <c r="AB33" s="521" t="s">
        <v>544</v>
      </c>
      <c r="AC33" s="521" t="s">
        <v>544</v>
      </c>
      <c r="AD33" s="518"/>
    </row>
    <row r="34" spans="1:30" ht="27" customHeight="1">
      <c r="A34" s="517"/>
      <c r="B34" s="560">
        <v>17</v>
      </c>
      <c r="C34" s="515" t="s">
        <v>545</v>
      </c>
      <c r="D34" s="596"/>
      <c r="E34" s="515"/>
      <c r="F34" s="515"/>
      <c r="G34" s="555"/>
      <c r="H34" s="587"/>
      <c r="I34" s="629" t="str">
        <f t="shared" si="1"/>
        <v>2.7.1</v>
      </c>
      <c r="J34" s="629" t="str">
        <f t="shared" si="2"/>
        <v>Расходы на оплату труда административно-управленческого персонала</v>
      </c>
      <c r="K34" s="629">
        <f t="shared" si="3"/>
        <v>0</v>
      </c>
      <c r="L34" s="516" t="str">
        <f t="shared" si="4"/>
        <v>2.7.1</v>
      </c>
      <c r="M34" s="516" t="str">
        <f t="shared" si="5"/>
        <v>Расходы на оплату труда административно-управленческого персонала</v>
      </c>
      <c r="N34" s="516" t="str">
        <f t="shared" si="6"/>
        <v/>
      </c>
      <c r="O34" s="586" t="s">
        <v>546</v>
      </c>
      <c r="P34" s="586" t="s">
        <v>521</v>
      </c>
      <c r="Q34" s="586" t="s">
        <v>546</v>
      </c>
      <c r="R34" s="586" t="s">
        <v>521</v>
      </c>
      <c r="S34" s="586"/>
      <c r="T34" s="595" t="s">
        <v>547</v>
      </c>
      <c r="U34" s="518" t="s">
        <v>547</v>
      </c>
      <c r="V34" s="518" t="s">
        <v>547</v>
      </c>
      <c r="W34" s="518" t="s">
        <v>548</v>
      </c>
      <c r="X34" s="515"/>
      <c r="Y34" s="626"/>
      <c r="Z34" s="518"/>
      <c r="AA34" s="521"/>
      <c r="AB34" s="518"/>
      <c r="AC34" s="518"/>
      <c r="AD34" s="518"/>
    </row>
    <row r="35" spans="1:30" ht="45" customHeight="1">
      <c r="A35" s="517"/>
      <c r="B35" s="560">
        <v>18</v>
      </c>
      <c r="C35" s="515" t="s">
        <v>549</v>
      </c>
      <c r="D35" s="596"/>
      <c r="E35" s="515"/>
      <c r="F35" s="515"/>
      <c r="G35" s="555"/>
      <c r="H35" s="587"/>
      <c r="I35" s="629" t="str">
        <f t="shared" si="1"/>
        <v>2.7.2</v>
      </c>
      <c r="J35" s="629"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629">
        <f t="shared" si="3"/>
        <v>0</v>
      </c>
      <c r="L35" s="516" t="str">
        <f t="shared" si="4"/>
        <v>2.7.2</v>
      </c>
      <c r="M35" s="516"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516" t="str">
        <f t="shared" si="6"/>
        <v/>
      </c>
      <c r="O35" s="586" t="s">
        <v>550</v>
      </c>
      <c r="P35" s="586" t="s">
        <v>526</v>
      </c>
      <c r="Q35" s="586" t="s">
        <v>550</v>
      </c>
      <c r="R35" s="586" t="s">
        <v>526</v>
      </c>
      <c r="S35" s="586"/>
      <c r="T35" s="593" t="s">
        <v>551</v>
      </c>
      <c r="U35" s="518" t="s">
        <v>551</v>
      </c>
      <c r="V35" s="518" t="s">
        <v>551</v>
      </c>
      <c r="W35" s="518" t="s">
        <v>551</v>
      </c>
      <c r="X35" s="515"/>
      <c r="Y35" s="626"/>
      <c r="Z35" s="518"/>
      <c r="AA35" s="521"/>
      <c r="AB35" s="518"/>
      <c r="AC35" s="518"/>
      <c r="AD35" s="518"/>
    </row>
    <row r="36" spans="1:30" ht="18" customHeight="1">
      <c r="A36" s="517"/>
      <c r="B36" s="560">
        <v>19</v>
      </c>
      <c r="C36" s="515">
        <v>11</v>
      </c>
      <c r="D36" s="596"/>
      <c r="E36" s="515"/>
      <c r="F36" s="515"/>
      <c r="G36" s="555"/>
      <c r="H36" s="587"/>
      <c r="I36" s="629" t="str">
        <f t="shared" si="1"/>
        <v>2.8</v>
      </c>
      <c r="J36" s="629" t="str">
        <f t="shared" si="2"/>
        <v>Расходы на амортизацию основных средств и нематериальных активов</v>
      </c>
      <c r="K36" s="629">
        <f t="shared" si="3"/>
        <v>0</v>
      </c>
      <c r="L36" s="516" t="str">
        <f t="shared" si="4"/>
        <v>2.8</v>
      </c>
      <c r="M36" s="516" t="str">
        <f t="shared" si="5"/>
        <v>Расходы на амортизацию основных средств и нематериальных активов</v>
      </c>
      <c r="N36" s="516" t="str">
        <f t="shared" si="6"/>
        <v/>
      </c>
      <c r="O36" s="586" t="s">
        <v>552</v>
      </c>
      <c r="P36" s="586" t="s">
        <v>530</v>
      </c>
      <c r="Q36" s="586" t="s">
        <v>552</v>
      </c>
      <c r="R36" s="586" t="s">
        <v>530</v>
      </c>
      <c r="S36" s="586"/>
      <c r="T36" s="593" t="s">
        <v>553</v>
      </c>
      <c r="U36" s="518" t="s">
        <v>553</v>
      </c>
      <c r="V36" s="518" t="s">
        <v>553</v>
      </c>
      <c r="W36" s="518" t="s">
        <v>553</v>
      </c>
      <c r="X36" s="515"/>
      <c r="Y36" s="626"/>
      <c r="Z36" s="518"/>
      <c r="AA36" s="521"/>
      <c r="AB36" s="518"/>
      <c r="AC36" s="518"/>
      <c r="AD36" s="518"/>
    </row>
    <row r="37" spans="1:30" ht="18" customHeight="1">
      <c r="A37" s="517"/>
      <c r="B37" s="560">
        <v>20</v>
      </c>
      <c r="C37" s="515" t="s">
        <v>554</v>
      </c>
      <c r="D37" s="596"/>
      <c r="E37" s="515"/>
      <c r="F37" s="515"/>
      <c r="G37" s="555"/>
      <c r="H37" s="587"/>
      <c r="I37" s="629" t="str">
        <f t="shared" si="1"/>
        <v>2.8.1</v>
      </c>
      <c r="J37" s="629" t="str">
        <f t="shared" si="2"/>
        <v>Расходы на амортизацию основных средств</v>
      </c>
      <c r="K37" s="629">
        <f t="shared" si="3"/>
        <v>0</v>
      </c>
      <c r="L37" s="516" t="str">
        <f t="shared" si="4"/>
        <v>2.8.1</v>
      </c>
      <c r="M37" s="516" t="str">
        <f t="shared" si="5"/>
        <v>Расходы на амортизацию основных средств</v>
      </c>
      <c r="N37" s="516" t="str">
        <f t="shared" si="6"/>
        <v/>
      </c>
      <c r="O37" s="586" t="s">
        <v>555</v>
      </c>
      <c r="P37" s="586" t="s">
        <v>534</v>
      </c>
      <c r="Q37" s="586" t="s">
        <v>555</v>
      </c>
      <c r="R37" s="586" t="s">
        <v>534</v>
      </c>
      <c r="S37" s="586"/>
      <c r="T37" s="593" t="s">
        <v>556</v>
      </c>
      <c r="U37" s="518" t="s">
        <v>556</v>
      </c>
      <c r="V37" s="518" t="s">
        <v>556</v>
      </c>
      <c r="W37" s="518" t="s">
        <v>556</v>
      </c>
      <c r="X37" s="515"/>
      <c r="Y37" s="626"/>
      <c r="Z37" s="518"/>
      <c r="AA37" s="521"/>
      <c r="AB37" s="518"/>
      <c r="AC37" s="518"/>
      <c r="AD37" s="518"/>
    </row>
    <row r="38" spans="1:30" ht="18" customHeight="1">
      <c r="A38" s="517"/>
      <c r="B38" s="560">
        <v>21</v>
      </c>
      <c r="C38" s="515" t="s">
        <v>557</v>
      </c>
      <c r="D38" s="596"/>
      <c r="E38" s="515"/>
      <c r="F38" s="515"/>
      <c r="G38" s="555"/>
      <c r="H38" s="587"/>
      <c r="I38" s="629" t="str">
        <f t="shared" si="1"/>
        <v>2.8.2</v>
      </c>
      <c r="J38" s="629" t="str">
        <f t="shared" si="2"/>
        <v>Расходы на амортизацию нематериальных активов</v>
      </c>
      <c r="K38" s="629">
        <f t="shared" si="3"/>
        <v>0</v>
      </c>
      <c r="L38" s="516" t="str">
        <f t="shared" si="4"/>
        <v>2.8.2</v>
      </c>
      <c r="M38" s="516" t="str">
        <f t="shared" si="5"/>
        <v>Расходы на амортизацию нематериальных активов</v>
      </c>
      <c r="N38" s="516" t="str">
        <f t="shared" si="6"/>
        <v/>
      </c>
      <c r="O38" s="586" t="s">
        <v>558</v>
      </c>
      <c r="P38" s="586" t="s">
        <v>538</v>
      </c>
      <c r="Q38" s="586" t="s">
        <v>558</v>
      </c>
      <c r="R38" s="586" t="s">
        <v>538</v>
      </c>
      <c r="S38" s="586"/>
      <c r="T38" s="593" t="s">
        <v>559</v>
      </c>
      <c r="U38" s="518" t="s">
        <v>559</v>
      </c>
      <c r="V38" s="518" t="s">
        <v>559</v>
      </c>
      <c r="W38" s="518" t="s">
        <v>559</v>
      </c>
      <c r="X38" s="515"/>
      <c r="Y38" s="626"/>
      <c r="Z38" s="518"/>
      <c r="AA38" s="521"/>
      <c r="AB38" s="518"/>
      <c r="AC38" s="518"/>
      <c r="AD38" s="518"/>
    </row>
    <row r="39" spans="1:30" ht="36" customHeight="1">
      <c r="A39" s="517"/>
      <c r="B39" s="560">
        <v>22</v>
      </c>
      <c r="C39" s="515">
        <v>12</v>
      </c>
      <c r="D39" s="596"/>
      <c r="E39" s="515"/>
      <c r="F39" s="515"/>
      <c r="G39" s="555"/>
      <c r="H39" s="587"/>
      <c r="I39" s="629" t="str">
        <f t="shared" si="1"/>
        <v>2.9</v>
      </c>
      <c r="J39" s="629" t="str">
        <f t="shared" si="2"/>
        <v>Расходы на аренду имущества, используемого для осуществления регулируемого вида деятельности</v>
      </c>
      <c r="K39" s="629">
        <f t="shared" si="3"/>
        <v>0</v>
      </c>
      <c r="L39" s="516" t="str">
        <f t="shared" si="4"/>
        <v>2.9</v>
      </c>
      <c r="M39" s="516" t="str">
        <f t="shared" si="5"/>
        <v>Расходы на аренду имущества, используемого для осуществления регулируемого вида деятельности</v>
      </c>
      <c r="N39" s="516" t="str">
        <f t="shared" si="6"/>
        <v/>
      </c>
      <c r="O39" s="586" t="s">
        <v>560</v>
      </c>
      <c r="P39" s="586" t="s">
        <v>541</v>
      </c>
      <c r="Q39" s="586" t="s">
        <v>560</v>
      </c>
      <c r="R39" s="586" t="s">
        <v>541</v>
      </c>
      <c r="S39" s="586"/>
      <c r="T39" s="593" t="s">
        <v>561</v>
      </c>
      <c r="U39" s="518" t="s">
        <v>562</v>
      </c>
      <c r="V39" s="518" t="s">
        <v>563</v>
      </c>
      <c r="W39" s="518" t="s">
        <v>564</v>
      </c>
      <c r="X39" s="515"/>
      <c r="Y39" s="626"/>
      <c r="Z39" s="518"/>
      <c r="AA39" s="521"/>
      <c r="AB39" s="518"/>
      <c r="AC39" s="518"/>
      <c r="AD39" s="518"/>
    </row>
    <row r="40" spans="1:30" ht="18" customHeight="1">
      <c r="A40" s="517"/>
      <c r="B40" s="560">
        <v>23</v>
      </c>
      <c r="C40" s="515">
        <v>13</v>
      </c>
      <c r="D40" s="596"/>
      <c r="E40" s="515"/>
      <c r="F40" s="515"/>
      <c r="G40" s="515"/>
      <c r="H40" s="558"/>
      <c r="I40" s="629" t="str">
        <f t="shared" si="1"/>
        <v>2.10</v>
      </c>
      <c r="J40" s="629" t="str">
        <f t="shared" si="2"/>
        <v>Общепроизводственные расходы, в том числе:</v>
      </c>
      <c r="K40" s="629" t="str">
        <f t="shared" si="3"/>
        <v>Указывается общая сумма общепроизводственных расходов.</v>
      </c>
      <c r="L40" s="516" t="str">
        <f t="shared" si="4"/>
        <v>2.10</v>
      </c>
      <c r="M40" s="516" t="str">
        <f t="shared" si="5"/>
        <v>Общепроизводственные расходы, в том числе:</v>
      </c>
      <c r="N40" s="516" t="str">
        <f t="shared" si="6"/>
        <v>Указывается общая сумма общепроизводственных расходов.</v>
      </c>
      <c r="O40" s="586" t="s">
        <v>565</v>
      </c>
      <c r="P40" s="586" t="s">
        <v>552</v>
      </c>
      <c r="Q40" s="586" t="s">
        <v>565</v>
      </c>
      <c r="R40" s="586" t="s">
        <v>552</v>
      </c>
      <c r="S40" s="586"/>
      <c r="T40" s="515" t="s">
        <v>566</v>
      </c>
      <c r="U40" s="515" t="s">
        <v>566</v>
      </c>
      <c r="V40" s="515" t="s">
        <v>566</v>
      </c>
      <c r="W40" s="515" t="s">
        <v>566</v>
      </c>
      <c r="X40" s="515"/>
      <c r="Y40" s="626"/>
      <c r="Z40" s="518" t="s">
        <v>567</v>
      </c>
      <c r="AA40" s="521" t="s">
        <v>567</v>
      </c>
      <c r="AB40" s="521" t="s">
        <v>567</v>
      </c>
      <c r="AC40" s="521" t="s">
        <v>567</v>
      </c>
      <c r="AD40" s="518"/>
    </row>
    <row r="41" spans="1:30" ht="27" customHeight="1">
      <c r="A41" s="517"/>
      <c r="B41" s="560">
        <v>24</v>
      </c>
      <c r="C41" s="515" t="s">
        <v>568</v>
      </c>
      <c r="D41" s="596"/>
      <c r="E41" s="515"/>
      <c r="F41" s="515"/>
      <c r="G41" s="515"/>
      <c r="H41" s="555"/>
      <c r="I41" s="629" t="str">
        <f t="shared" si="1"/>
        <v>2.10.1</v>
      </c>
      <c r="J41" s="629" t="str">
        <f t="shared" si="2"/>
        <v>Расходы на текущий ремонт</v>
      </c>
      <c r="K41" s="629" t="str">
        <f t="shared" si="3"/>
        <v>Указываются расходы на текущий ремонт, отнесенные к общепроизводственным расходам.</v>
      </c>
      <c r="L41" s="516" t="str">
        <f t="shared" si="4"/>
        <v>2.10.1</v>
      </c>
      <c r="M41" s="516" t="str">
        <f t="shared" si="5"/>
        <v>Расходы на текущий ремонт</v>
      </c>
      <c r="N41" s="516" t="str">
        <f t="shared" si="6"/>
        <v>Указываются расходы на текущий ремонт, отнесенные к общепроизводственным расходам.</v>
      </c>
      <c r="O41" s="586" t="s">
        <v>569</v>
      </c>
      <c r="P41" s="586" t="s">
        <v>555</v>
      </c>
      <c r="Q41" s="586" t="s">
        <v>569</v>
      </c>
      <c r="R41" s="586" t="s">
        <v>555</v>
      </c>
      <c r="S41" s="586"/>
      <c r="T41" s="515" t="s">
        <v>570</v>
      </c>
      <c r="U41" s="515" t="s">
        <v>570</v>
      </c>
      <c r="V41" s="515" t="s">
        <v>570</v>
      </c>
      <c r="W41" s="515" t="s">
        <v>570</v>
      </c>
      <c r="X41" s="515"/>
      <c r="Y41" s="626"/>
      <c r="Z41" s="518" t="s">
        <v>571</v>
      </c>
      <c r="AA41" s="518" t="s">
        <v>571</v>
      </c>
      <c r="AB41" s="518" t="s">
        <v>571</v>
      </c>
      <c r="AC41" s="518" t="s">
        <v>571</v>
      </c>
      <c r="AD41" s="518"/>
    </row>
    <row r="42" spans="1:30" ht="27" customHeight="1">
      <c r="A42" s="517"/>
      <c r="B42" s="560">
        <v>25</v>
      </c>
      <c r="C42" s="515" t="s">
        <v>572</v>
      </c>
      <c r="D42" s="596"/>
      <c r="E42" s="515"/>
      <c r="F42" s="515"/>
      <c r="G42" s="515"/>
      <c r="H42" s="555"/>
      <c r="I42" s="629" t="str">
        <f t="shared" si="1"/>
        <v>2.10.2</v>
      </c>
      <c r="J42" s="629" t="str">
        <f t="shared" si="2"/>
        <v>Расходы на капитальный ремонт</v>
      </c>
      <c r="K42" s="629" t="str">
        <f t="shared" si="3"/>
        <v>Указываются расходы на капитальный ремонт, отнесенные к общепроизводственным расходам.</v>
      </c>
      <c r="L42" s="516" t="str">
        <f t="shared" si="4"/>
        <v>2.10.2</v>
      </c>
      <c r="M42" s="516" t="str">
        <f t="shared" si="5"/>
        <v>Расходы на капитальный ремонт</v>
      </c>
      <c r="N42" s="516" t="str">
        <f t="shared" si="6"/>
        <v>Указываются расходы на капитальный ремонт, отнесенные к общепроизводственным расходам.</v>
      </c>
      <c r="O42" s="586" t="s">
        <v>573</v>
      </c>
      <c r="P42" s="586" t="s">
        <v>558</v>
      </c>
      <c r="Q42" s="586" t="s">
        <v>573</v>
      </c>
      <c r="R42" s="586" t="s">
        <v>558</v>
      </c>
      <c r="S42" s="586"/>
      <c r="T42" s="515" t="s">
        <v>574</v>
      </c>
      <c r="U42" s="515" t="s">
        <v>574</v>
      </c>
      <c r="V42" s="515" t="s">
        <v>574</v>
      </c>
      <c r="W42" s="515" t="s">
        <v>574</v>
      </c>
      <c r="X42" s="515"/>
      <c r="Y42" s="626"/>
      <c r="Z42" s="518" t="s">
        <v>575</v>
      </c>
      <c r="AA42" s="518" t="s">
        <v>575</v>
      </c>
      <c r="AB42" s="518" t="s">
        <v>575</v>
      </c>
      <c r="AC42" s="518" t="s">
        <v>575</v>
      </c>
      <c r="AD42" s="518"/>
    </row>
    <row r="43" spans="1:30" ht="18" customHeight="1">
      <c r="A43" s="517"/>
      <c r="B43" s="560">
        <v>26</v>
      </c>
      <c r="C43" s="515">
        <v>14</v>
      </c>
      <c r="D43" s="596"/>
      <c r="E43" s="515"/>
      <c r="F43" s="515"/>
      <c r="G43" s="515"/>
      <c r="H43" s="555"/>
      <c r="I43" s="629" t="str">
        <f t="shared" si="1"/>
        <v>2.11</v>
      </c>
      <c r="J43" s="629" t="str">
        <f t="shared" si="2"/>
        <v>Общехозяйственные расходы, в том числе:</v>
      </c>
      <c r="K43" s="629" t="str">
        <f t="shared" si="3"/>
        <v>Указывается общая сумма общехозяйственных расходов.</v>
      </c>
      <c r="L43" s="516" t="str">
        <f t="shared" si="4"/>
        <v>2.11</v>
      </c>
      <c r="M43" s="516" t="str">
        <f t="shared" si="5"/>
        <v>Общехозяйственные расходы, в том числе:</v>
      </c>
      <c r="N43" s="516" t="str">
        <f t="shared" si="6"/>
        <v>Указывается общая сумма общехозяйственных расходов.</v>
      </c>
      <c r="O43" s="586" t="s">
        <v>576</v>
      </c>
      <c r="P43" s="586" t="s">
        <v>560</v>
      </c>
      <c r="Q43" s="586" t="s">
        <v>576</v>
      </c>
      <c r="R43" s="586" t="s">
        <v>560</v>
      </c>
      <c r="S43" s="586"/>
      <c r="T43" s="515" t="s">
        <v>577</v>
      </c>
      <c r="U43" s="515" t="s">
        <v>577</v>
      </c>
      <c r="V43" s="515" t="s">
        <v>577</v>
      </c>
      <c r="W43" s="515" t="s">
        <v>577</v>
      </c>
      <c r="X43" s="515"/>
      <c r="Y43" s="626"/>
      <c r="Z43" s="518" t="s">
        <v>578</v>
      </c>
      <c r="AA43" s="518" t="s">
        <v>578</v>
      </c>
      <c r="AB43" s="518" t="s">
        <v>578</v>
      </c>
      <c r="AC43" s="518" t="s">
        <v>578</v>
      </c>
      <c r="AD43" s="518"/>
    </row>
    <row r="44" spans="1:30" ht="27" customHeight="1">
      <c r="A44" s="517"/>
      <c r="B44" s="560">
        <v>27</v>
      </c>
      <c r="C44" s="515" t="s">
        <v>579</v>
      </c>
      <c r="D44" s="596"/>
      <c r="E44" s="515"/>
      <c r="F44" s="515"/>
      <c r="G44" s="515"/>
      <c r="H44" s="555"/>
      <c r="I44" s="629" t="str">
        <f t="shared" si="1"/>
        <v>2.11.1</v>
      </c>
      <c r="J44" s="629" t="str">
        <f t="shared" si="2"/>
        <v>Расходы на текущий ремонт</v>
      </c>
      <c r="K44" s="629" t="str">
        <f t="shared" si="3"/>
        <v>Указываются расходы на текущий ремонт, отнесенные к общехозяйственным расходам.</v>
      </c>
      <c r="L44" s="516" t="str">
        <f t="shared" si="4"/>
        <v>2.11.1</v>
      </c>
      <c r="M44" s="516" t="str">
        <f t="shared" si="5"/>
        <v>Расходы на текущий ремонт</v>
      </c>
      <c r="N44" s="516" t="str">
        <f t="shared" si="6"/>
        <v>Указываются расходы на текущий ремонт, отнесенные к общехозяйственным расходам.</v>
      </c>
      <c r="O44" s="586" t="s">
        <v>580</v>
      </c>
      <c r="P44" s="586" t="s">
        <v>581</v>
      </c>
      <c r="Q44" s="586" t="s">
        <v>580</v>
      </c>
      <c r="R44" s="586" t="s">
        <v>581</v>
      </c>
      <c r="S44" s="586"/>
      <c r="T44" s="515" t="s">
        <v>570</v>
      </c>
      <c r="U44" s="515" t="s">
        <v>570</v>
      </c>
      <c r="V44" s="515" t="s">
        <v>570</v>
      </c>
      <c r="W44" s="515" t="s">
        <v>570</v>
      </c>
      <c r="X44" s="515"/>
      <c r="Y44" s="626"/>
      <c r="Z44" s="518" t="s">
        <v>582</v>
      </c>
      <c r="AA44" s="518" t="s">
        <v>582</v>
      </c>
      <c r="AB44" s="518" t="s">
        <v>582</v>
      </c>
      <c r="AC44" s="518" t="s">
        <v>582</v>
      </c>
      <c r="AD44" s="518"/>
    </row>
    <row r="45" spans="1:30" ht="27" customHeight="1">
      <c r="A45" s="517"/>
      <c r="B45" s="560">
        <v>28</v>
      </c>
      <c r="C45" s="515" t="s">
        <v>583</v>
      </c>
      <c r="D45" s="596"/>
      <c r="E45" s="515"/>
      <c r="F45" s="515"/>
      <c r="G45" s="515"/>
      <c r="H45" s="555"/>
      <c r="I45" s="629" t="str">
        <f t="shared" si="1"/>
        <v>2.11.2</v>
      </c>
      <c r="J45" s="629" t="str">
        <f t="shared" si="2"/>
        <v>Расходы на капитальный ремонт</v>
      </c>
      <c r="K45" s="629" t="str">
        <f t="shared" si="3"/>
        <v>Указываются расходы на капитальный ремонт, отнесенные к общехозяйственным расходам.</v>
      </c>
      <c r="L45" s="516" t="str">
        <f t="shared" si="4"/>
        <v>2.11.2</v>
      </c>
      <c r="M45" s="516" t="str">
        <f t="shared" si="5"/>
        <v>Расходы на капитальный ремонт</v>
      </c>
      <c r="N45" s="516" t="str">
        <f t="shared" si="6"/>
        <v>Указываются расходы на капитальный ремонт, отнесенные к общехозяйственным расходам.</v>
      </c>
      <c r="O45" s="586" t="s">
        <v>584</v>
      </c>
      <c r="P45" s="586" t="s">
        <v>585</v>
      </c>
      <c r="Q45" s="586" t="s">
        <v>584</v>
      </c>
      <c r="R45" s="586" t="s">
        <v>585</v>
      </c>
      <c r="S45" s="586"/>
      <c r="T45" s="515" t="s">
        <v>574</v>
      </c>
      <c r="U45" s="515" t="s">
        <v>574</v>
      </c>
      <c r="V45" s="515" t="s">
        <v>574</v>
      </c>
      <c r="W45" s="515" t="s">
        <v>574</v>
      </c>
      <c r="X45" s="515"/>
      <c r="Y45" s="626"/>
      <c r="Z45" s="518" t="s">
        <v>586</v>
      </c>
      <c r="AA45" s="518" t="s">
        <v>586</v>
      </c>
      <c r="AB45" s="518" t="s">
        <v>586</v>
      </c>
      <c r="AC45" s="518" t="s">
        <v>586</v>
      </c>
      <c r="AD45" s="518"/>
    </row>
    <row r="46" spans="1:30" ht="54" customHeight="1">
      <c r="A46" s="517"/>
      <c r="B46" s="560">
        <v>29</v>
      </c>
      <c r="C46" s="515">
        <v>15</v>
      </c>
      <c r="D46" s="596"/>
      <c r="E46" s="515"/>
      <c r="F46" s="515"/>
      <c r="G46" s="515"/>
      <c r="H46" s="555"/>
      <c r="I46" s="629" t="str">
        <f t="shared" si="1"/>
        <v>2.12</v>
      </c>
      <c r="J46" s="629" t="str">
        <f t="shared" si="2"/>
        <v>Расходы на капитальный и текущий ремонт основных средств</v>
      </c>
      <c r="K46" s="629"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516" t="str">
        <f t="shared" si="4"/>
        <v>2.12</v>
      </c>
      <c r="M46" s="516" t="str">
        <f t="shared" si="5"/>
        <v>Расходы на капитальный и текущий ремонт основных средств</v>
      </c>
      <c r="N46" s="516"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86" t="s">
        <v>587</v>
      </c>
      <c r="P46" s="586" t="s">
        <v>565</v>
      </c>
      <c r="Q46" s="586" t="s">
        <v>587</v>
      </c>
      <c r="R46" s="586" t="s">
        <v>565</v>
      </c>
      <c r="S46" s="586"/>
      <c r="T46" s="515" t="s">
        <v>588</v>
      </c>
      <c r="U46" s="515" t="s">
        <v>588</v>
      </c>
      <c r="V46" s="515" t="s">
        <v>588</v>
      </c>
      <c r="W46" s="515" t="s">
        <v>588</v>
      </c>
      <c r="X46" s="515"/>
      <c r="Y46" s="626"/>
      <c r="Z46" s="518" t="s">
        <v>589</v>
      </c>
      <c r="AA46" s="518" t="s">
        <v>590</v>
      </c>
      <c r="AB46" s="518" t="s">
        <v>590</v>
      </c>
      <c r="AC46" s="518" t="s">
        <v>590</v>
      </c>
      <c r="AD46" s="518"/>
    </row>
    <row r="47" spans="1:30" ht="54" customHeight="1">
      <c r="A47" s="517"/>
      <c r="B47" s="560">
        <v>30</v>
      </c>
      <c r="C47" s="515" t="s">
        <v>591</v>
      </c>
      <c r="D47" s="596"/>
      <c r="E47" s="515"/>
      <c r="F47" s="515"/>
      <c r="G47" s="515"/>
      <c r="H47" s="555"/>
      <c r="I47" s="629" t="str">
        <f t="shared" si="1"/>
        <v>2.12.1</v>
      </c>
      <c r="J47" s="629"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629">
        <f t="shared" si="3"/>
        <v>0</v>
      </c>
      <c r="L47" s="516" t="str">
        <f t="shared" si="4"/>
        <v>2.12.1</v>
      </c>
      <c r="M47" s="516"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516" t="str">
        <f t="shared" si="6"/>
        <v/>
      </c>
      <c r="O47" s="586" t="s">
        <v>592</v>
      </c>
      <c r="P47" s="586" t="s">
        <v>569</v>
      </c>
      <c r="Q47" s="586" t="s">
        <v>592</v>
      </c>
      <c r="R47" s="586" t="s">
        <v>569</v>
      </c>
      <c r="S47" s="586"/>
      <c r="T47" s="515" t="s">
        <v>593</v>
      </c>
      <c r="U47" s="515" t="s">
        <v>593</v>
      </c>
      <c r="V47" s="515" t="s">
        <v>593</v>
      </c>
      <c r="W47" s="515" t="s">
        <v>593</v>
      </c>
      <c r="X47" s="515"/>
      <c r="Y47" s="626"/>
      <c r="Z47" s="518"/>
      <c r="AA47" s="521"/>
      <c r="AB47" s="521"/>
      <c r="AC47" s="521"/>
      <c r="AD47" s="518"/>
    </row>
    <row r="48" spans="1:30" ht="54" customHeight="1">
      <c r="A48" s="517"/>
      <c r="B48" s="560">
        <v>31</v>
      </c>
      <c r="C48" s="515">
        <v>16</v>
      </c>
      <c r="D48" s="596"/>
      <c r="E48" s="515"/>
      <c r="F48" s="515"/>
      <c r="G48" s="515"/>
      <c r="H48" s="555"/>
      <c r="I48" s="629">
        <f t="shared" si="1"/>
        <v>0</v>
      </c>
      <c r="J48" s="629">
        <f t="shared" si="2"/>
        <v>0</v>
      </c>
      <c r="K48" s="629">
        <f t="shared" si="3"/>
        <v>0</v>
      </c>
      <c r="L48" s="516" t="str">
        <f t="shared" si="4"/>
        <v/>
      </c>
      <c r="M48" s="516" t="str">
        <f t="shared" si="5"/>
        <v/>
      </c>
      <c r="N48" s="516" t="str">
        <f t="shared" si="6"/>
        <v/>
      </c>
      <c r="O48" s="586"/>
      <c r="P48" s="586" t="s">
        <v>576</v>
      </c>
      <c r="Q48" s="586" t="s">
        <v>594</v>
      </c>
      <c r="R48" s="586" t="s">
        <v>576</v>
      </c>
      <c r="S48" s="586"/>
      <c r="T48" s="515"/>
      <c r="U48" s="515" t="s">
        <v>595</v>
      </c>
      <c r="V48" s="515" t="s">
        <v>596</v>
      </c>
      <c r="W48" s="515" t="s">
        <v>596</v>
      </c>
      <c r="X48" s="515"/>
      <c r="Y48" s="626"/>
      <c r="Z48" s="518"/>
      <c r="AA48" s="521" t="s">
        <v>590</v>
      </c>
      <c r="AB48" s="521" t="s">
        <v>590</v>
      </c>
      <c r="AC48" s="521" t="s">
        <v>590</v>
      </c>
      <c r="AD48" s="518"/>
    </row>
    <row r="49" spans="1:30" ht="54" customHeight="1">
      <c r="A49" s="517"/>
      <c r="B49" s="560">
        <v>32</v>
      </c>
      <c r="C49" s="515" t="s">
        <v>597</v>
      </c>
      <c r="D49" s="596"/>
      <c r="E49" s="515"/>
      <c r="F49" s="515"/>
      <c r="G49" s="515"/>
      <c r="H49" s="555"/>
      <c r="I49" s="629">
        <f t="shared" si="1"/>
        <v>0</v>
      </c>
      <c r="J49" s="629">
        <f t="shared" si="2"/>
        <v>0</v>
      </c>
      <c r="K49" s="629">
        <f t="shared" si="3"/>
        <v>0</v>
      </c>
      <c r="L49" s="516" t="str">
        <f t="shared" si="4"/>
        <v/>
      </c>
      <c r="M49" s="516" t="str">
        <f t="shared" si="5"/>
        <v/>
      </c>
      <c r="N49" s="516" t="str">
        <f t="shared" si="6"/>
        <v/>
      </c>
      <c r="O49" s="586"/>
      <c r="P49" s="586" t="s">
        <v>580</v>
      </c>
      <c r="Q49" s="586" t="s">
        <v>598</v>
      </c>
      <c r="R49" s="586" t="s">
        <v>580</v>
      </c>
      <c r="S49" s="586"/>
      <c r="T49" s="515"/>
      <c r="U49" s="515" t="s">
        <v>593</v>
      </c>
      <c r="V49" s="515" t="s">
        <v>593</v>
      </c>
      <c r="W49" s="515" t="s">
        <v>593</v>
      </c>
      <c r="X49" s="515"/>
      <c r="Y49" s="626"/>
      <c r="Z49" s="518"/>
      <c r="AA49" s="521"/>
      <c r="AB49" s="521"/>
      <c r="AC49" s="521"/>
      <c r="AD49" s="518"/>
    </row>
    <row r="50" spans="1:30" ht="126" customHeight="1">
      <c r="A50" s="517"/>
      <c r="B50" s="560">
        <v>33</v>
      </c>
      <c r="C50" s="515">
        <v>17</v>
      </c>
      <c r="D50" s="596"/>
      <c r="E50" s="515"/>
      <c r="F50" s="515"/>
      <c r="G50" s="515"/>
      <c r="H50" s="555"/>
      <c r="I50" s="629" t="str">
        <f t="shared" ref="I50:I81" si="7">INDEX(TEMPLATE_NUMBER_POINT_FHD,B50,MATCH(TEMPLATE_SPHERE,TEMPLATE_SPHERE_LIST_FOR_NOTE,0))</f>
        <v>2.13</v>
      </c>
      <c r="J50" s="629"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629"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516" t="str">
        <f t="shared" ref="L50:L81" si="10">IF(I50=0,"",I50)</f>
        <v>2.13</v>
      </c>
      <c r="M50" s="516"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516"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586" t="s">
        <v>594</v>
      </c>
      <c r="P50" s="586" t="s">
        <v>587</v>
      </c>
      <c r="Q50" s="586" t="s">
        <v>599</v>
      </c>
      <c r="R50" s="586" t="s">
        <v>587</v>
      </c>
      <c r="S50" s="586"/>
      <c r="T50" s="515" t="s">
        <v>600</v>
      </c>
      <c r="U50" s="515" t="s">
        <v>601</v>
      </c>
      <c r="V50" s="515" t="s">
        <v>602</v>
      </c>
      <c r="W50" s="515" t="s">
        <v>603</v>
      </c>
      <c r="X50" s="515"/>
      <c r="Y50" s="626"/>
      <c r="Z50" s="518" t="s">
        <v>604</v>
      </c>
      <c r="AA50" s="521" t="s">
        <v>605</v>
      </c>
      <c r="AB50" s="521" t="s">
        <v>605</v>
      </c>
      <c r="AC50" s="521" t="s">
        <v>605</v>
      </c>
      <c r="AD50" s="518"/>
    </row>
    <row r="51" spans="1:30" ht="27" customHeight="1">
      <c r="A51" s="517"/>
      <c r="B51" s="560">
        <v>34</v>
      </c>
      <c r="C51" s="515" t="s">
        <v>606</v>
      </c>
      <c r="D51" s="596"/>
      <c r="E51" s="515"/>
      <c r="F51" s="515"/>
      <c r="G51" s="515"/>
      <c r="H51" s="555"/>
      <c r="I51" s="629" t="str">
        <f t="shared" si="7"/>
        <v>3</v>
      </c>
      <c r="J51" s="629" t="str">
        <f t="shared" si="8"/>
        <v>Валовая прибыль (убытки) от реализации товаров и оказания услуг по регулируемому виду деятельности</v>
      </c>
      <c r="K51" s="629">
        <f t="shared" si="9"/>
        <v>0</v>
      </c>
      <c r="L51" s="516" t="str">
        <f t="shared" si="10"/>
        <v>3</v>
      </c>
      <c r="M51" s="516" t="str">
        <f t="shared" si="11"/>
        <v>Валовая прибыль (убытки) от реализации товаров и оказания услуг по регулируемому виду деятельности</v>
      </c>
      <c r="N51" s="516" t="str">
        <f t="shared" si="12"/>
        <v/>
      </c>
      <c r="O51" s="586" t="s">
        <v>90</v>
      </c>
      <c r="P51" s="586"/>
      <c r="Q51" s="586"/>
      <c r="R51" s="586"/>
      <c r="S51" s="586"/>
      <c r="T51" s="515" t="s">
        <v>607</v>
      </c>
      <c r="U51" s="515"/>
      <c r="V51" s="515"/>
      <c r="W51" s="515"/>
      <c r="X51" s="515"/>
      <c r="Y51" s="626"/>
      <c r="Z51" s="518"/>
      <c r="AA51" s="521"/>
      <c r="AB51" s="521"/>
      <c r="AC51" s="521"/>
      <c r="AD51" s="518"/>
    </row>
    <row r="52" spans="1:30" ht="36" customHeight="1">
      <c r="A52" s="517"/>
      <c r="B52" s="560">
        <v>35</v>
      </c>
      <c r="C52" s="515" t="s">
        <v>484</v>
      </c>
      <c r="D52" s="596" t="s">
        <v>484</v>
      </c>
      <c r="E52" s="515" t="s">
        <v>484</v>
      </c>
      <c r="F52" s="515" t="s">
        <v>484</v>
      </c>
      <c r="G52" s="515"/>
      <c r="H52" s="555"/>
      <c r="I52" s="629" t="str">
        <f t="shared" si="7"/>
        <v>4</v>
      </c>
      <c r="J52" s="629" t="str">
        <f t="shared" si="8"/>
        <v>Чистая прибыль, полученная от регулируемого вида деятельности, в том числе:</v>
      </c>
      <c r="K52" s="629" t="str">
        <f t="shared" si="9"/>
        <v>Указывается общая сумма чистой прибыли, полученной от регулируемого вида деятельности.</v>
      </c>
      <c r="L52" s="516" t="str">
        <f t="shared" si="10"/>
        <v>4</v>
      </c>
      <c r="M52" s="516" t="str">
        <f t="shared" si="11"/>
        <v>Чистая прибыль, полученная от регулируемого вида деятельности, в том числе:</v>
      </c>
      <c r="N52" s="516" t="str">
        <f t="shared" si="12"/>
        <v>Указывается общая сумма чистой прибыли, полученной от регулируемого вида деятельности.</v>
      </c>
      <c r="O52" s="586" t="s">
        <v>91</v>
      </c>
      <c r="P52" s="586" t="s">
        <v>90</v>
      </c>
      <c r="Q52" s="586" t="s">
        <v>90</v>
      </c>
      <c r="R52" s="586" t="s">
        <v>90</v>
      </c>
      <c r="S52" s="586"/>
      <c r="T52" s="515" t="s">
        <v>608</v>
      </c>
      <c r="U52" s="515" t="s">
        <v>609</v>
      </c>
      <c r="V52" s="515" t="s">
        <v>610</v>
      </c>
      <c r="W52" s="515" t="s">
        <v>611</v>
      </c>
      <c r="X52" s="515"/>
      <c r="Y52" s="626"/>
      <c r="Z52" s="518" t="s">
        <v>612</v>
      </c>
      <c r="AA52" s="521" t="s">
        <v>612</v>
      </c>
      <c r="AB52" s="521" t="s">
        <v>612</v>
      </c>
      <c r="AC52" s="521" t="s">
        <v>612</v>
      </c>
      <c r="AD52" s="518"/>
    </row>
    <row r="53" spans="1:30" ht="36" customHeight="1">
      <c r="A53" s="517"/>
      <c r="B53" s="560">
        <v>36</v>
      </c>
      <c r="C53" s="515">
        <v>1</v>
      </c>
      <c r="D53" s="596"/>
      <c r="E53" s="515"/>
      <c r="F53" s="515"/>
      <c r="G53" s="515"/>
      <c r="H53" s="555"/>
      <c r="I53" s="629" t="str">
        <f t="shared" si="7"/>
        <v>4.1</v>
      </c>
      <c r="J53" s="629"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629">
        <f t="shared" si="9"/>
        <v>0</v>
      </c>
      <c r="L53" s="516" t="str">
        <f t="shared" si="10"/>
        <v>4.1</v>
      </c>
      <c r="M53" s="516"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516" t="str">
        <f t="shared" si="12"/>
        <v/>
      </c>
      <c r="O53" s="586" t="s">
        <v>613</v>
      </c>
      <c r="P53" s="586" t="s">
        <v>318</v>
      </c>
      <c r="Q53" s="586" t="s">
        <v>318</v>
      </c>
      <c r="R53" s="586" t="s">
        <v>318</v>
      </c>
      <c r="S53" s="586"/>
      <c r="T53" s="515" t="s">
        <v>614</v>
      </c>
      <c r="U53" s="515" t="s">
        <v>614</v>
      </c>
      <c r="V53" s="515" t="s">
        <v>614</v>
      </c>
      <c r="W53" s="515" t="s">
        <v>614</v>
      </c>
      <c r="X53" s="515"/>
      <c r="Y53" s="626"/>
      <c r="Z53" s="518"/>
      <c r="AA53" s="521"/>
      <c r="AB53" s="518"/>
      <c r="AC53" s="518"/>
      <c r="AD53" s="518"/>
    </row>
    <row r="54" spans="1:30" ht="18" customHeight="1">
      <c r="A54" s="517"/>
      <c r="B54" s="560">
        <v>37</v>
      </c>
      <c r="C54" s="515" t="s">
        <v>490</v>
      </c>
      <c r="D54" s="596" t="s">
        <v>490</v>
      </c>
      <c r="E54" s="515" t="s">
        <v>490</v>
      </c>
      <c r="F54" s="515" t="s">
        <v>490</v>
      </c>
      <c r="G54" s="515"/>
      <c r="H54" s="555"/>
      <c r="I54" s="629" t="str">
        <f t="shared" si="7"/>
        <v>5</v>
      </c>
      <c r="J54" s="629" t="str">
        <f t="shared" si="8"/>
        <v>Изменение стоимости основных фондов, в том числе:</v>
      </c>
      <c r="K54" s="629" t="str">
        <f t="shared" si="9"/>
        <v>Указывается общее изменение стоимости основных фондов.</v>
      </c>
      <c r="L54" s="516" t="str">
        <f t="shared" si="10"/>
        <v>5</v>
      </c>
      <c r="M54" s="516" t="str">
        <f t="shared" si="11"/>
        <v>Изменение стоимости основных фондов, в том числе:</v>
      </c>
      <c r="N54" s="516" t="str">
        <f t="shared" si="12"/>
        <v>Указывается общее изменение стоимости основных фондов.</v>
      </c>
      <c r="O54" s="586" t="s">
        <v>111</v>
      </c>
      <c r="P54" s="586" t="s">
        <v>91</v>
      </c>
      <c r="Q54" s="586" t="s">
        <v>91</v>
      </c>
      <c r="R54" s="586" t="s">
        <v>91</v>
      </c>
      <c r="S54" s="586"/>
      <c r="T54" s="515" t="s">
        <v>615</v>
      </c>
      <c r="U54" s="515" t="s">
        <v>615</v>
      </c>
      <c r="V54" s="515" t="s">
        <v>615</v>
      </c>
      <c r="W54" s="515" t="s">
        <v>615</v>
      </c>
      <c r="X54" s="515"/>
      <c r="Y54" s="626"/>
      <c r="Z54" s="518" t="s">
        <v>616</v>
      </c>
      <c r="AA54" s="518" t="s">
        <v>616</v>
      </c>
      <c r="AB54" s="518" t="s">
        <v>616</v>
      </c>
      <c r="AC54" s="518" t="s">
        <v>616</v>
      </c>
      <c r="AD54" s="518"/>
    </row>
    <row r="55" spans="1:30" ht="36" customHeight="1">
      <c r="A55" s="517"/>
      <c r="B55" s="560">
        <v>38</v>
      </c>
      <c r="C55" s="515">
        <v>1</v>
      </c>
      <c r="D55" s="596"/>
      <c r="E55" s="515"/>
      <c r="F55" s="515"/>
      <c r="G55" s="515"/>
      <c r="H55" s="555"/>
      <c r="I55" s="629" t="str">
        <f t="shared" si="7"/>
        <v>5.1</v>
      </c>
      <c r="J55" s="629" t="str">
        <f t="shared" si="8"/>
        <v>Изменение стоимости основных фондов за счет:</v>
      </c>
      <c r="K55" s="629" t="str">
        <f t="shared" si="9"/>
        <v>Указываются общее изменение стоимости основных фондов за счет их ввода в эксплуатацию и вывода из эксплуатации.</v>
      </c>
      <c r="L55" s="516" t="str">
        <f t="shared" si="10"/>
        <v>5.1</v>
      </c>
      <c r="M55" s="516" t="str">
        <f t="shared" si="11"/>
        <v>Изменение стоимости основных фондов за счет:</v>
      </c>
      <c r="N55" s="516" t="str">
        <f t="shared" si="12"/>
        <v>Указываются общее изменение стоимости основных фондов за счет их ввода в эксплуатацию и вывода из эксплуатации.</v>
      </c>
      <c r="O55" s="586" t="s">
        <v>307</v>
      </c>
      <c r="P55" s="586" t="s">
        <v>613</v>
      </c>
      <c r="Q55" s="586" t="s">
        <v>613</v>
      </c>
      <c r="R55" s="586" t="s">
        <v>613</v>
      </c>
      <c r="S55" s="586"/>
      <c r="T55" s="515" t="s">
        <v>617</v>
      </c>
      <c r="U55" s="515" t="s">
        <v>618</v>
      </c>
      <c r="V55" s="515" t="s">
        <v>618</v>
      </c>
      <c r="W55" s="515" t="s">
        <v>618</v>
      </c>
      <c r="X55" s="515"/>
      <c r="Y55" s="626"/>
      <c r="Z55" s="518" t="s">
        <v>619</v>
      </c>
      <c r="AA55" s="518" t="s">
        <v>619</v>
      </c>
      <c r="AB55" s="518" t="s">
        <v>619</v>
      </c>
      <c r="AC55" s="518" t="s">
        <v>619</v>
      </c>
      <c r="AD55" s="518"/>
    </row>
    <row r="56" spans="1:30" ht="27" customHeight="1">
      <c r="A56" s="517"/>
      <c r="B56" s="560">
        <v>39</v>
      </c>
      <c r="C56" s="515" t="s">
        <v>620</v>
      </c>
      <c r="D56" s="596"/>
      <c r="E56" s="515"/>
      <c r="F56" s="515"/>
      <c r="G56" s="515"/>
      <c r="H56" s="555"/>
      <c r="I56" s="629" t="str">
        <f t="shared" si="7"/>
        <v>5.1.1</v>
      </c>
      <c r="J56" s="629" t="str">
        <f t="shared" si="8"/>
        <v>Изменения стоимости основных фондов за счет их ввода в эксплуатацию</v>
      </c>
      <c r="K56" s="629" t="str">
        <f t="shared" si="9"/>
        <v>Указываются изменение стоимости основных фондов за счет их ввода в эксплуатацию.</v>
      </c>
      <c r="L56" s="516" t="str">
        <f t="shared" si="10"/>
        <v>5.1.1</v>
      </c>
      <c r="M56" s="516" t="str">
        <f t="shared" si="11"/>
        <v>Изменения стоимости основных фондов за счет их ввода в эксплуатацию</v>
      </c>
      <c r="N56" s="516" t="str">
        <f t="shared" si="12"/>
        <v>Указываются изменение стоимости основных фондов за счет их ввода в эксплуатацию.</v>
      </c>
      <c r="O56" s="586" t="s">
        <v>621</v>
      </c>
      <c r="P56" s="586" t="s">
        <v>622</v>
      </c>
      <c r="Q56" s="586" t="s">
        <v>622</v>
      </c>
      <c r="R56" s="586" t="s">
        <v>622</v>
      </c>
      <c r="S56" s="586"/>
      <c r="T56" s="515" t="s">
        <v>623</v>
      </c>
      <c r="U56" s="515" t="s">
        <v>624</v>
      </c>
      <c r="V56" s="515" t="s">
        <v>624</v>
      </c>
      <c r="W56" s="515" t="s">
        <v>624</v>
      </c>
      <c r="X56" s="515"/>
      <c r="Y56" s="626"/>
      <c r="Z56" s="518" t="s">
        <v>625</v>
      </c>
      <c r="AA56" s="518" t="s">
        <v>625</v>
      </c>
      <c r="AB56" s="518" t="s">
        <v>625</v>
      </c>
      <c r="AC56" s="518" t="s">
        <v>625</v>
      </c>
      <c r="AD56" s="518"/>
    </row>
    <row r="57" spans="1:30" ht="27" customHeight="1">
      <c r="A57" s="517"/>
      <c r="B57" s="560">
        <v>40</v>
      </c>
      <c r="C57" s="515" t="s">
        <v>626</v>
      </c>
      <c r="D57" s="596"/>
      <c r="E57" s="515"/>
      <c r="F57" s="515"/>
      <c r="G57" s="515"/>
      <c r="H57" s="555"/>
      <c r="I57" s="629" t="str">
        <f t="shared" si="7"/>
        <v>5.1.2</v>
      </c>
      <c r="J57" s="629" t="str">
        <f t="shared" si="8"/>
        <v>Изменения стоимости основных фондов за счет их вывода в эксплуатацию</v>
      </c>
      <c r="K57" s="629" t="str">
        <f t="shared" si="9"/>
        <v>Указываются изменение стоимости основных фондов за счет их вывода из эксплуатации.</v>
      </c>
      <c r="L57" s="516" t="str">
        <f t="shared" si="10"/>
        <v>5.1.2</v>
      </c>
      <c r="M57" s="516" t="str">
        <f t="shared" si="11"/>
        <v>Изменения стоимости основных фондов за счет их вывода в эксплуатацию</v>
      </c>
      <c r="N57" s="516" t="str">
        <f t="shared" si="12"/>
        <v>Указываются изменение стоимости основных фондов за счет их вывода из эксплуатации.</v>
      </c>
      <c r="O57" s="586" t="s">
        <v>627</v>
      </c>
      <c r="P57" s="586" t="s">
        <v>628</v>
      </c>
      <c r="Q57" s="586" t="s">
        <v>628</v>
      </c>
      <c r="R57" s="586" t="s">
        <v>628</v>
      </c>
      <c r="S57" s="586"/>
      <c r="T57" s="515" t="s">
        <v>629</v>
      </c>
      <c r="U57" s="515" t="s">
        <v>630</v>
      </c>
      <c r="V57" s="515" t="s">
        <v>630</v>
      </c>
      <c r="W57" s="515" t="s">
        <v>630</v>
      </c>
      <c r="X57" s="515"/>
      <c r="Y57" s="626"/>
      <c r="Z57" s="518" t="s">
        <v>631</v>
      </c>
      <c r="AA57" s="518" t="s">
        <v>631</v>
      </c>
      <c r="AB57" s="518" t="s">
        <v>631</v>
      </c>
      <c r="AC57" s="518" t="s">
        <v>631</v>
      </c>
      <c r="AD57" s="518"/>
    </row>
    <row r="58" spans="1:30" ht="18" customHeight="1">
      <c r="A58" s="517"/>
      <c r="B58" s="560">
        <v>41</v>
      </c>
      <c r="C58" s="515">
        <v>2</v>
      </c>
      <c r="D58" s="596"/>
      <c r="E58" s="515"/>
      <c r="F58" s="515"/>
      <c r="G58" s="515"/>
      <c r="H58" s="555"/>
      <c r="I58" s="629" t="str">
        <f t="shared" si="7"/>
        <v>5.2</v>
      </c>
      <c r="J58" s="629" t="str">
        <f t="shared" si="8"/>
        <v>Изменение стоимости основных фондов за счет их переоценки</v>
      </c>
      <c r="K58" s="629">
        <f t="shared" si="9"/>
        <v>0</v>
      </c>
      <c r="L58" s="516" t="str">
        <f t="shared" si="10"/>
        <v>5.2</v>
      </c>
      <c r="M58" s="516" t="str">
        <f t="shared" si="11"/>
        <v>Изменение стоимости основных фондов за счет их переоценки</v>
      </c>
      <c r="N58" s="516" t="str">
        <f t="shared" si="12"/>
        <v/>
      </c>
      <c r="O58" s="586" t="s">
        <v>309</v>
      </c>
      <c r="P58" s="586" t="s">
        <v>632</v>
      </c>
      <c r="Q58" s="586" t="s">
        <v>632</v>
      </c>
      <c r="R58" s="586" t="s">
        <v>632</v>
      </c>
      <c r="S58" s="586"/>
      <c r="T58" s="515" t="s">
        <v>633</v>
      </c>
      <c r="U58" s="515" t="s">
        <v>633</v>
      </c>
      <c r="V58" s="515" t="s">
        <v>633</v>
      </c>
      <c r="W58" s="515" t="s">
        <v>633</v>
      </c>
      <c r="X58" s="515"/>
      <c r="Y58" s="626"/>
      <c r="Z58" s="518"/>
      <c r="AA58" s="521"/>
      <c r="AB58" s="518"/>
      <c r="AC58" s="518"/>
      <c r="AD58" s="518"/>
    </row>
    <row r="59" spans="1:30" ht="36" customHeight="1">
      <c r="A59" s="517"/>
      <c r="B59" s="560">
        <v>42</v>
      </c>
      <c r="C59" s="515">
        <v>3</v>
      </c>
      <c r="D59" s="596" t="s">
        <v>606</v>
      </c>
      <c r="E59" s="515" t="s">
        <v>606</v>
      </c>
      <c r="F59" s="515" t="s">
        <v>606</v>
      </c>
      <c r="G59" s="515"/>
      <c r="H59" s="555"/>
      <c r="I59" s="629">
        <f t="shared" si="7"/>
        <v>0</v>
      </c>
      <c r="J59" s="629">
        <f t="shared" si="8"/>
        <v>0</v>
      </c>
      <c r="K59" s="629">
        <f t="shared" si="9"/>
        <v>0</v>
      </c>
      <c r="L59" s="516" t="str">
        <f t="shared" si="10"/>
        <v/>
      </c>
      <c r="M59" s="516" t="str">
        <f t="shared" si="11"/>
        <v/>
      </c>
      <c r="N59" s="516" t="str">
        <f t="shared" si="12"/>
        <v/>
      </c>
      <c r="O59" s="586"/>
      <c r="P59" s="586" t="s">
        <v>111</v>
      </c>
      <c r="Q59" s="586" t="s">
        <v>111</v>
      </c>
      <c r="R59" s="586" t="s">
        <v>111</v>
      </c>
      <c r="S59" s="586"/>
      <c r="T59" s="515"/>
      <c r="U59" s="515" t="s">
        <v>634</v>
      </c>
      <c r="V59" s="515" t="s">
        <v>635</v>
      </c>
      <c r="W59" s="515" t="s">
        <v>636</v>
      </c>
      <c r="X59" s="515"/>
      <c r="Y59" s="626"/>
      <c r="Z59" s="518"/>
      <c r="AA59" s="521"/>
      <c r="AB59" s="518"/>
      <c r="AC59" s="518"/>
      <c r="AD59" s="518"/>
    </row>
    <row r="60" spans="1:30" ht="81" customHeight="1">
      <c r="A60" s="517"/>
      <c r="B60" s="560">
        <v>43</v>
      </c>
      <c r="C60" s="515" t="s">
        <v>637</v>
      </c>
      <c r="D60" s="596" t="s">
        <v>637</v>
      </c>
      <c r="E60" s="515" t="s">
        <v>637</v>
      </c>
      <c r="F60" s="515" t="s">
        <v>637</v>
      </c>
      <c r="G60" s="515"/>
      <c r="H60" s="555"/>
      <c r="I60" s="629" t="str">
        <f t="shared" si="7"/>
        <v>6</v>
      </c>
      <c r="J60" s="629" t="str">
        <f t="shared" si="8"/>
        <v>Годовая бухгалтерская (финансовая) отчетность, включая бухгалтерский баланс и приложения к нему</v>
      </c>
      <c r="K60" s="629"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516" t="str">
        <f t="shared" si="10"/>
        <v>6</v>
      </c>
      <c r="M60" s="516" t="str">
        <f t="shared" si="11"/>
        <v>Годовая бухгалтерская (финансовая) отчетность, включая бухгалтерский баланс и приложения к нему</v>
      </c>
      <c r="N60" s="516"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586" t="s">
        <v>92</v>
      </c>
      <c r="P60" s="586" t="s">
        <v>92</v>
      </c>
      <c r="Q60" s="586" t="s">
        <v>92</v>
      </c>
      <c r="R60" s="586" t="s">
        <v>92</v>
      </c>
      <c r="S60" s="586"/>
      <c r="T60" s="515" t="s">
        <v>638</v>
      </c>
      <c r="U60" s="515" t="s">
        <v>638</v>
      </c>
      <c r="V60" s="515" t="s">
        <v>638</v>
      </c>
      <c r="W60" s="515" t="s">
        <v>638</v>
      </c>
      <c r="X60" s="515"/>
      <c r="Y60" s="626"/>
      <c r="Z60" s="518" t="s">
        <v>639</v>
      </c>
      <c r="AA60" s="521" t="s">
        <v>640</v>
      </c>
      <c r="AB60" s="518" t="s">
        <v>641</v>
      </c>
      <c r="AC60" s="518" t="s">
        <v>640</v>
      </c>
      <c r="AD60" s="518"/>
    </row>
    <row r="61" spans="1:30" ht="9" customHeight="1">
      <c r="A61" s="517"/>
      <c r="B61" s="560">
        <v>44</v>
      </c>
      <c r="C61" s="515"/>
      <c r="D61" s="596" t="s">
        <v>642</v>
      </c>
      <c r="E61" s="515"/>
      <c r="F61" s="515"/>
      <c r="G61" s="515"/>
      <c r="H61" s="555"/>
      <c r="I61" s="629">
        <f t="shared" si="7"/>
        <v>0</v>
      </c>
      <c r="J61" s="629">
        <f t="shared" si="8"/>
        <v>0</v>
      </c>
      <c r="K61" s="629">
        <f t="shared" si="9"/>
        <v>0</v>
      </c>
      <c r="L61" s="516" t="str">
        <f t="shared" si="10"/>
        <v/>
      </c>
      <c r="M61" s="516" t="str">
        <f t="shared" si="11"/>
        <v/>
      </c>
      <c r="N61" s="516" t="str">
        <f t="shared" si="12"/>
        <v/>
      </c>
      <c r="O61" s="586"/>
      <c r="P61" s="586" t="s">
        <v>93</v>
      </c>
      <c r="Q61" s="586"/>
      <c r="R61" s="586"/>
      <c r="S61" s="586"/>
      <c r="T61" s="515"/>
      <c r="U61" s="515" t="s">
        <v>643</v>
      </c>
      <c r="V61" s="515"/>
      <c r="W61" s="515"/>
      <c r="X61" s="515"/>
      <c r="Y61" s="626"/>
      <c r="Z61" s="518"/>
      <c r="AA61" s="521"/>
      <c r="AB61" s="518"/>
      <c r="AC61" s="518"/>
      <c r="AD61" s="518"/>
    </row>
    <row r="62" spans="1:30" ht="9" customHeight="1">
      <c r="A62" s="517"/>
      <c r="B62" s="560">
        <v>45</v>
      </c>
      <c r="C62" s="515"/>
      <c r="D62" s="596" t="s">
        <v>644</v>
      </c>
      <c r="E62" s="515"/>
      <c r="F62" s="515"/>
      <c r="G62" s="515"/>
      <c r="H62" s="555"/>
      <c r="I62" s="629">
        <f t="shared" si="7"/>
        <v>0</v>
      </c>
      <c r="J62" s="629">
        <f t="shared" si="8"/>
        <v>0</v>
      </c>
      <c r="K62" s="629">
        <f t="shared" si="9"/>
        <v>0</v>
      </c>
      <c r="L62" s="516" t="str">
        <f t="shared" si="10"/>
        <v/>
      </c>
      <c r="M62" s="516" t="str">
        <f t="shared" si="11"/>
        <v/>
      </c>
      <c r="N62" s="516" t="str">
        <f t="shared" si="12"/>
        <v/>
      </c>
      <c r="O62" s="586"/>
      <c r="P62" s="586" t="s">
        <v>112</v>
      </c>
      <c r="Q62" s="586"/>
      <c r="R62" s="586"/>
      <c r="S62" s="586"/>
      <c r="T62" s="515"/>
      <c r="U62" s="515" t="s">
        <v>645</v>
      </c>
      <c r="V62" s="515"/>
      <c r="W62" s="515"/>
      <c r="X62" s="515"/>
      <c r="Y62" s="626"/>
      <c r="Z62" s="518"/>
      <c r="AA62" s="521"/>
      <c r="AB62" s="518"/>
      <c r="AC62" s="518"/>
      <c r="AD62" s="518"/>
    </row>
    <row r="63" spans="1:30" ht="18" customHeight="1">
      <c r="A63" s="517"/>
      <c r="B63" s="560">
        <v>46</v>
      </c>
      <c r="C63" s="515"/>
      <c r="D63" s="596" t="s">
        <v>646</v>
      </c>
      <c r="E63" s="515"/>
      <c r="F63" s="515"/>
      <c r="G63" s="515"/>
      <c r="H63" s="555"/>
      <c r="I63" s="629">
        <f t="shared" si="7"/>
        <v>0</v>
      </c>
      <c r="J63" s="629">
        <f t="shared" si="8"/>
        <v>0</v>
      </c>
      <c r="K63" s="629">
        <f t="shared" si="9"/>
        <v>0</v>
      </c>
      <c r="L63" s="516" t="str">
        <f t="shared" si="10"/>
        <v/>
      </c>
      <c r="M63" s="516" t="str">
        <f t="shared" si="11"/>
        <v/>
      </c>
      <c r="N63" s="516" t="str">
        <f t="shared" si="12"/>
        <v/>
      </c>
      <c r="O63" s="586"/>
      <c r="P63" s="586" t="s">
        <v>149</v>
      </c>
      <c r="Q63" s="586"/>
      <c r="R63" s="586"/>
      <c r="S63" s="586"/>
      <c r="T63" s="515"/>
      <c r="U63" s="515" t="s">
        <v>647</v>
      </c>
      <c r="V63" s="515"/>
      <c r="W63" s="515"/>
      <c r="X63" s="515"/>
      <c r="Y63" s="626"/>
      <c r="Z63" s="518"/>
      <c r="AA63" s="521"/>
      <c r="AB63" s="518"/>
      <c r="AC63" s="518"/>
      <c r="AD63" s="518"/>
    </row>
    <row r="64" spans="1:30" ht="18" customHeight="1">
      <c r="A64" s="517"/>
      <c r="B64" s="560">
        <v>47</v>
      </c>
      <c r="C64" s="515"/>
      <c r="D64" s="596" t="s">
        <v>648</v>
      </c>
      <c r="E64" s="515"/>
      <c r="F64" s="515"/>
      <c r="G64" s="515"/>
      <c r="H64" s="555"/>
      <c r="I64" s="629">
        <f t="shared" si="7"/>
        <v>0</v>
      </c>
      <c r="J64" s="629">
        <f t="shared" si="8"/>
        <v>0</v>
      </c>
      <c r="K64" s="629">
        <f t="shared" si="9"/>
        <v>0</v>
      </c>
      <c r="L64" s="516" t="str">
        <f t="shared" si="10"/>
        <v/>
      </c>
      <c r="M64" s="516" t="str">
        <f t="shared" si="11"/>
        <v/>
      </c>
      <c r="N64" s="516" t="str">
        <f t="shared" si="12"/>
        <v/>
      </c>
      <c r="O64" s="586"/>
      <c r="P64" s="586" t="s">
        <v>150</v>
      </c>
      <c r="Q64" s="586"/>
      <c r="R64" s="586"/>
      <c r="S64" s="586"/>
      <c r="T64" s="515"/>
      <c r="U64" s="515" t="s">
        <v>649</v>
      </c>
      <c r="V64" s="515"/>
      <c r="W64" s="515"/>
      <c r="X64" s="515"/>
      <c r="Y64" s="626"/>
      <c r="Z64" s="518"/>
      <c r="AA64" s="521" t="s">
        <v>650</v>
      </c>
      <c r="AB64" s="518"/>
      <c r="AC64" s="518"/>
      <c r="AD64" s="518"/>
    </row>
    <row r="65" spans="1:30" ht="18" customHeight="1">
      <c r="A65" s="517"/>
      <c r="B65" s="560">
        <v>48</v>
      </c>
      <c r="C65" s="515"/>
      <c r="D65" s="596"/>
      <c r="E65" s="515"/>
      <c r="F65" s="515"/>
      <c r="G65" s="515"/>
      <c r="H65" s="555"/>
      <c r="I65" s="629">
        <f t="shared" si="7"/>
        <v>0</v>
      </c>
      <c r="J65" s="629">
        <f t="shared" si="8"/>
        <v>0</v>
      </c>
      <c r="K65" s="629">
        <f t="shared" si="9"/>
        <v>0</v>
      </c>
      <c r="L65" s="516" t="str">
        <f t="shared" si="10"/>
        <v/>
      </c>
      <c r="M65" s="516" t="str">
        <f t="shared" si="11"/>
        <v/>
      </c>
      <c r="N65" s="516" t="str">
        <f t="shared" si="12"/>
        <v/>
      </c>
      <c r="O65" s="586"/>
      <c r="P65" s="586" t="s">
        <v>545</v>
      </c>
      <c r="Q65" s="586"/>
      <c r="R65" s="586"/>
      <c r="S65" s="586"/>
      <c r="T65" s="515"/>
      <c r="U65" s="515" t="s">
        <v>651</v>
      </c>
      <c r="V65" s="515"/>
      <c r="W65" s="515"/>
      <c r="X65" s="515"/>
      <c r="Y65" s="626"/>
      <c r="Z65" s="518"/>
      <c r="AA65" s="521"/>
      <c r="AB65" s="518"/>
      <c r="AC65" s="518"/>
      <c r="AD65" s="518"/>
    </row>
    <row r="66" spans="1:30" ht="18" customHeight="1">
      <c r="A66" s="517"/>
      <c r="B66" s="560">
        <v>49</v>
      </c>
      <c r="C66" s="515"/>
      <c r="D66" s="596"/>
      <c r="E66" s="515"/>
      <c r="F66" s="515"/>
      <c r="G66" s="515"/>
      <c r="H66" s="555"/>
      <c r="I66" s="629">
        <f t="shared" si="7"/>
        <v>0</v>
      </c>
      <c r="J66" s="629">
        <f t="shared" si="8"/>
        <v>0</v>
      </c>
      <c r="K66" s="629">
        <f t="shared" si="9"/>
        <v>0</v>
      </c>
      <c r="L66" s="516" t="str">
        <f t="shared" si="10"/>
        <v/>
      </c>
      <c r="M66" s="516" t="str">
        <f t="shared" si="11"/>
        <v/>
      </c>
      <c r="N66" s="516" t="str">
        <f t="shared" si="12"/>
        <v/>
      </c>
      <c r="O66" s="586"/>
      <c r="P66" s="586" t="s">
        <v>549</v>
      </c>
      <c r="Q66" s="586"/>
      <c r="R66" s="586"/>
      <c r="S66" s="586"/>
      <c r="T66" s="515"/>
      <c r="U66" s="515" t="s">
        <v>652</v>
      </c>
      <c r="V66" s="515"/>
      <c r="W66" s="515"/>
      <c r="X66" s="515"/>
      <c r="Y66" s="626"/>
      <c r="Z66" s="518"/>
      <c r="AA66" s="521"/>
      <c r="AB66" s="518"/>
      <c r="AC66" s="518"/>
      <c r="AD66" s="518"/>
    </row>
    <row r="67" spans="1:30" ht="27" customHeight="1">
      <c r="A67" s="517"/>
      <c r="B67" s="560">
        <v>50</v>
      </c>
      <c r="C67" s="515"/>
      <c r="D67" s="596"/>
      <c r="E67" s="515"/>
      <c r="F67" s="515"/>
      <c r="G67" s="515"/>
      <c r="H67" s="555"/>
      <c r="I67" s="629">
        <f t="shared" si="7"/>
        <v>0</v>
      </c>
      <c r="J67" s="629">
        <f t="shared" si="8"/>
        <v>0</v>
      </c>
      <c r="K67" s="629">
        <f t="shared" si="9"/>
        <v>0</v>
      </c>
      <c r="L67" s="516" t="str">
        <f t="shared" si="10"/>
        <v/>
      </c>
      <c r="M67" s="516" t="str">
        <f t="shared" si="11"/>
        <v/>
      </c>
      <c r="N67" s="516" t="str">
        <f t="shared" si="12"/>
        <v/>
      </c>
      <c r="O67" s="586"/>
      <c r="P67" s="586" t="s">
        <v>653</v>
      </c>
      <c r="Q67" s="586"/>
      <c r="R67" s="586"/>
      <c r="S67" s="586"/>
      <c r="T67" s="515"/>
      <c r="U67" s="515" t="s">
        <v>654</v>
      </c>
      <c r="V67" s="515"/>
      <c r="W67" s="515"/>
      <c r="X67" s="515"/>
      <c r="Y67" s="626"/>
      <c r="Z67" s="518"/>
      <c r="AA67" s="521"/>
      <c r="AB67" s="518"/>
      <c r="AC67" s="518"/>
      <c r="AD67" s="518"/>
    </row>
    <row r="68" spans="1:30" ht="27" customHeight="1">
      <c r="A68" s="517"/>
      <c r="B68" s="560">
        <v>51</v>
      </c>
      <c r="C68" s="515"/>
      <c r="D68" s="596"/>
      <c r="E68" s="515"/>
      <c r="F68" s="515"/>
      <c r="G68" s="515"/>
      <c r="H68" s="555"/>
      <c r="I68" s="629">
        <f t="shared" si="7"/>
        <v>0</v>
      </c>
      <c r="J68" s="629">
        <f t="shared" si="8"/>
        <v>0</v>
      </c>
      <c r="K68" s="629">
        <f t="shared" si="9"/>
        <v>0</v>
      </c>
      <c r="L68" s="516" t="str">
        <f t="shared" si="10"/>
        <v/>
      </c>
      <c r="M68" s="516" t="str">
        <f t="shared" si="11"/>
        <v/>
      </c>
      <c r="N68" s="516" t="str">
        <f t="shared" si="12"/>
        <v/>
      </c>
      <c r="O68" s="586"/>
      <c r="P68" s="586" t="s">
        <v>655</v>
      </c>
      <c r="Q68" s="586"/>
      <c r="R68" s="586"/>
      <c r="S68" s="586"/>
      <c r="T68" s="515"/>
      <c r="U68" s="515" t="s">
        <v>656</v>
      </c>
      <c r="V68" s="515"/>
      <c r="W68" s="515"/>
      <c r="X68" s="515"/>
      <c r="Y68" s="626"/>
      <c r="Z68" s="518"/>
      <c r="AA68" s="521"/>
      <c r="AB68" s="518"/>
      <c r="AC68" s="518"/>
      <c r="AD68" s="518"/>
    </row>
    <row r="69" spans="1:30" ht="9" customHeight="1">
      <c r="A69" s="517"/>
      <c r="B69" s="560">
        <v>52</v>
      </c>
      <c r="C69" s="515"/>
      <c r="D69" s="596" t="s">
        <v>657</v>
      </c>
      <c r="E69" s="515"/>
      <c r="F69" s="515"/>
      <c r="G69" s="515"/>
      <c r="H69" s="555"/>
      <c r="I69" s="629">
        <f t="shared" si="7"/>
        <v>0</v>
      </c>
      <c r="J69" s="629">
        <f t="shared" si="8"/>
        <v>0</v>
      </c>
      <c r="K69" s="629">
        <f t="shared" si="9"/>
        <v>0</v>
      </c>
      <c r="L69" s="516" t="str">
        <f t="shared" si="10"/>
        <v/>
      </c>
      <c r="M69" s="516" t="str">
        <f t="shared" si="11"/>
        <v/>
      </c>
      <c r="N69" s="516" t="str">
        <f t="shared" si="12"/>
        <v/>
      </c>
      <c r="O69" s="586"/>
      <c r="P69" s="586" t="s">
        <v>151</v>
      </c>
      <c r="Q69" s="586"/>
      <c r="R69" s="586"/>
      <c r="S69" s="586"/>
      <c r="T69" s="515"/>
      <c r="U69" s="515" t="s">
        <v>658</v>
      </c>
      <c r="V69" s="515"/>
      <c r="W69" s="515"/>
      <c r="X69" s="515"/>
      <c r="Y69" s="626"/>
      <c r="Z69" s="518"/>
      <c r="AA69" s="521"/>
      <c r="AB69" s="518"/>
      <c r="AC69" s="518"/>
      <c r="AD69" s="518"/>
    </row>
    <row r="70" spans="1:30" ht="27" customHeight="1">
      <c r="A70" s="517"/>
      <c r="B70" s="560">
        <v>53</v>
      </c>
      <c r="C70" s="515"/>
      <c r="D70" s="596"/>
      <c r="E70" s="515" t="s">
        <v>642</v>
      </c>
      <c r="F70" s="515"/>
      <c r="G70" s="515"/>
      <c r="H70" s="555"/>
      <c r="I70" s="629">
        <f t="shared" si="7"/>
        <v>0</v>
      </c>
      <c r="J70" s="629">
        <f t="shared" si="8"/>
        <v>0</v>
      </c>
      <c r="K70" s="629">
        <f t="shared" si="9"/>
        <v>0</v>
      </c>
      <c r="L70" s="516" t="str">
        <f t="shared" si="10"/>
        <v/>
      </c>
      <c r="M70" s="516" t="str">
        <f t="shared" si="11"/>
        <v/>
      </c>
      <c r="N70" s="516" t="str">
        <f t="shared" si="12"/>
        <v/>
      </c>
      <c r="O70" s="586"/>
      <c r="P70" s="586"/>
      <c r="Q70" s="586" t="s">
        <v>93</v>
      </c>
      <c r="R70" s="586"/>
      <c r="S70" s="586"/>
      <c r="T70" s="515"/>
      <c r="U70" s="515"/>
      <c r="V70" s="515" t="s">
        <v>659</v>
      </c>
      <c r="W70" s="515"/>
      <c r="X70" s="515"/>
      <c r="Y70" s="626"/>
      <c r="Z70" s="518"/>
      <c r="AA70" s="521"/>
      <c r="AB70" s="518"/>
      <c r="AC70" s="518"/>
      <c r="AD70" s="518"/>
    </row>
    <row r="71" spans="1:30" ht="36" customHeight="1">
      <c r="A71" s="517"/>
      <c r="B71" s="560">
        <v>54</v>
      </c>
      <c r="C71" s="515"/>
      <c r="D71" s="596"/>
      <c r="E71" s="515" t="s">
        <v>644</v>
      </c>
      <c r="F71" s="515"/>
      <c r="G71" s="515"/>
      <c r="H71" s="555"/>
      <c r="I71" s="629">
        <f t="shared" si="7"/>
        <v>0</v>
      </c>
      <c r="J71" s="629">
        <f t="shared" si="8"/>
        <v>0</v>
      </c>
      <c r="K71" s="629">
        <f t="shared" si="9"/>
        <v>0</v>
      </c>
      <c r="L71" s="516" t="str">
        <f t="shared" si="10"/>
        <v/>
      </c>
      <c r="M71" s="516" t="str">
        <f t="shared" si="11"/>
        <v/>
      </c>
      <c r="N71" s="516" t="str">
        <f t="shared" si="12"/>
        <v/>
      </c>
      <c r="O71" s="586"/>
      <c r="P71" s="586"/>
      <c r="Q71" s="586" t="s">
        <v>112</v>
      </c>
      <c r="R71" s="586"/>
      <c r="S71" s="586"/>
      <c r="T71" s="515"/>
      <c r="U71" s="515"/>
      <c r="V71" s="515" t="s">
        <v>660</v>
      </c>
      <c r="W71" s="515"/>
      <c r="X71" s="515"/>
      <c r="Y71" s="626"/>
      <c r="Z71" s="518"/>
      <c r="AA71" s="521"/>
      <c r="AB71" s="518"/>
      <c r="AC71" s="518"/>
      <c r="AD71" s="518"/>
    </row>
    <row r="72" spans="1:30" ht="27" customHeight="1">
      <c r="A72" s="517"/>
      <c r="B72" s="560">
        <v>55</v>
      </c>
      <c r="C72" s="515"/>
      <c r="D72" s="596"/>
      <c r="E72" s="515" t="s">
        <v>646</v>
      </c>
      <c r="F72" s="515"/>
      <c r="G72" s="515"/>
      <c r="H72" s="555"/>
      <c r="I72" s="629">
        <f t="shared" si="7"/>
        <v>0</v>
      </c>
      <c r="J72" s="629">
        <f t="shared" si="8"/>
        <v>0</v>
      </c>
      <c r="K72" s="629">
        <f t="shared" si="9"/>
        <v>0</v>
      </c>
      <c r="L72" s="516" t="str">
        <f t="shared" si="10"/>
        <v/>
      </c>
      <c r="M72" s="516" t="str">
        <f t="shared" si="11"/>
        <v/>
      </c>
      <c r="N72" s="516" t="str">
        <f t="shared" si="12"/>
        <v/>
      </c>
      <c r="O72" s="586"/>
      <c r="P72" s="586"/>
      <c r="Q72" s="586" t="s">
        <v>149</v>
      </c>
      <c r="R72" s="586"/>
      <c r="S72" s="586"/>
      <c r="T72" s="515"/>
      <c r="U72" s="515"/>
      <c r="V72" s="515" t="s">
        <v>661</v>
      </c>
      <c r="W72" s="515"/>
      <c r="X72" s="515"/>
      <c r="Y72" s="626"/>
      <c r="Z72" s="518"/>
      <c r="AA72" s="521"/>
      <c r="AB72" s="518"/>
      <c r="AC72" s="518"/>
      <c r="AD72" s="518"/>
    </row>
    <row r="73" spans="1:30" ht="36" customHeight="1">
      <c r="A73" s="517"/>
      <c r="B73" s="560">
        <v>56</v>
      </c>
      <c r="C73" s="515"/>
      <c r="D73" s="596"/>
      <c r="E73" s="515" t="s">
        <v>648</v>
      </c>
      <c r="F73" s="515"/>
      <c r="G73" s="515"/>
      <c r="H73" s="555"/>
      <c r="I73" s="629">
        <f t="shared" si="7"/>
        <v>0</v>
      </c>
      <c r="J73" s="629">
        <f t="shared" si="8"/>
        <v>0</v>
      </c>
      <c r="K73" s="629">
        <f t="shared" si="9"/>
        <v>0</v>
      </c>
      <c r="L73" s="516" t="str">
        <f t="shared" si="10"/>
        <v/>
      </c>
      <c r="M73" s="516" t="str">
        <f t="shared" si="11"/>
        <v/>
      </c>
      <c r="N73" s="516" t="str">
        <f t="shared" si="12"/>
        <v/>
      </c>
      <c r="O73" s="586"/>
      <c r="P73" s="586"/>
      <c r="Q73" s="586" t="s">
        <v>150</v>
      </c>
      <c r="R73" s="586"/>
      <c r="S73" s="586"/>
      <c r="T73" s="515"/>
      <c r="U73" s="515"/>
      <c r="V73" s="515" t="s">
        <v>662</v>
      </c>
      <c r="W73" s="515"/>
      <c r="X73" s="515"/>
      <c r="Y73" s="626"/>
      <c r="Z73" s="518"/>
      <c r="AA73" s="521"/>
      <c r="AB73" s="518"/>
      <c r="AC73" s="518"/>
      <c r="AD73" s="518"/>
    </row>
    <row r="74" spans="1:30" ht="18" customHeight="1">
      <c r="A74" s="517"/>
      <c r="B74" s="560">
        <v>57</v>
      </c>
      <c r="C74" s="515"/>
      <c r="D74" s="596"/>
      <c r="E74" s="515" t="s">
        <v>657</v>
      </c>
      <c r="F74" s="515"/>
      <c r="G74" s="515"/>
      <c r="H74" s="555"/>
      <c r="I74" s="629">
        <f t="shared" si="7"/>
        <v>0</v>
      </c>
      <c r="J74" s="629">
        <f t="shared" si="8"/>
        <v>0</v>
      </c>
      <c r="K74" s="629">
        <f t="shared" si="9"/>
        <v>0</v>
      </c>
      <c r="L74" s="516" t="str">
        <f t="shared" si="10"/>
        <v/>
      </c>
      <c r="M74" s="516" t="str">
        <f t="shared" si="11"/>
        <v/>
      </c>
      <c r="N74" s="516" t="str">
        <f t="shared" si="12"/>
        <v/>
      </c>
      <c r="O74" s="586"/>
      <c r="P74" s="586"/>
      <c r="Q74" s="586" t="s">
        <v>151</v>
      </c>
      <c r="R74" s="586"/>
      <c r="S74" s="586"/>
      <c r="T74" s="515"/>
      <c r="U74" s="515"/>
      <c r="V74" s="515" t="s">
        <v>663</v>
      </c>
      <c r="W74" s="515"/>
      <c r="X74" s="515"/>
      <c r="Y74" s="626"/>
      <c r="Z74" s="518"/>
      <c r="AA74" s="521"/>
      <c r="AB74" s="518"/>
      <c r="AC74" s="518"/>
      <c r="AD74" s="518"/>
    </row>
    <row r="75" spans="1:30" ht="18" customHeight="1">
      <c r="A75" s="517"/>
      <c r="B75" s="560">
        <v>58</v>
      </c>
      <c r="C75" s="515"/>
      <c r="D75" s="596"/>
      <c r="E75" s="515"/>
      <c r="F75" s="515" t="s">
        <v>642</v>
      </c>
      <c r="G75" s="515"/>
      <c r="H75" s="555"/>
      <c r="I75" s="629">
        <f t="shared" si="7"/>
        <v>0</v>
      </c>
      <c r="J75" s="629">
        <f t="shared" si="8"/>
        <v>0</v>
      </c>
      <c r="K75" s="629">
        <f t="shared" si="9"/>
        <v>0</v>
      </c>
      <c r="L75" s="516" t="str">
        <f t="shared" si="10"/>
        <v/>
      </c>
      <c r="M75" s="516" t="str">
        <f t="shared" si="11"/>
        <v/>
      </c>
      <c r="N75" s="516" t="str">
        <f t="shared" si="12"/>
        <v/>
      </c>
      <c r="O75" s="586"/>
      <c r="P75" s="586"/>
      <c r="Q75" s="586"/>
      <c r="R75" s="586" t="s">
        <v>93</v>
      </c>
      <c r="S75" s="586"/>
      <c r="T75" s="515"/>
      <c r="U75" s="515"/>
      <c r="V75" s="515"/>
      <c r="W75" s="515" t="s">
        <v>664</v>
      </c>
      <c r="X75" s="515"/>
      <c r="Y75" s="626"/>
      <c r="Z75" s="518"/>
      <c r="AA75" s="521"/>
      <c r="AB75" s="518"/>
      <c r="AC75" s="518"/>
      <c r="AD75" s="518"/>
    </row>
    <row r="76" spans="1:30" ht="36" customHeight="1">
      <c r="A76" s="517"/>
      <c r="B76" s="560">
        <v>59</v>
      </c>
      <c r="C76" s="515"/>
      <c r="D76" s="596"/>
      <c r="E76" s="515"/>
      <c r="F76" s="515" t="s">
        <v>644</v>
      </c>
      <c r="G76" s="515"/>
      <c r="H76" s="555"/>
      <c r="I76" s="629">
        <f t="shared" si="7"/>
        <v>0</v>
      </c>
      <c r="J76" s="629">
        <f t="shared" si="8"/>
        <v>0</v>
      </c>
      <c r="K76" s="629">
        <f t="shared" si="9"/>
        <v>0</v>
      </c>
      <c r="L76" s="516" t="str">
        <f t="shared" si="10"/>
        <v/>
      </c>
      <c r="M76" s="516" t="str">
        <f t="shared" si="11"/>
        <v/>
      </c>
      <c r="N76" s="516" t="str">
        <f t="shared" si="12"/>
        <v/>
      </c>
      <c r="O76" s="586"/>
      <c r="P76" s="586"/>
      <c r="Q76" s="586"/>
      <c r="R76" s="586" t="s">
        <v>112</v>
      </c>
      <c r="S76" s="586"/>
      <c r="T76" s="515"/>
      <c r="U76" s="515"/>
      <c r="V76" s="515"/>
      <c r="W76" s="515" t="s">
        <v>665</v>
      </c>
      <c r="X76" s="515"/>
      <c r="Y76" s="626"/>
      <c r="Z76" s="518"/>
      <c r="AA76" s="521"/>
      <c r="AB76" s="518"/>
      <c r="AC76" s="518"/>
      <c r="AD76" s="518"/>
    </row>
    <row r="77" spans="1:30" ht="18" customHeight="1">
      <c r="A77" s="517"/>
      <c r="B77" s="560">
        <v>60</v>
      </c>
      <c r="C77" s="515"/>
      <c r="D77" s="596"/>
      <c r="E77" s="515"/>
      <c r="F77" s="515" t="s">
        <v>646</v>
      </c>
      <c r="G77" s="515"/>
      <c r="H77" s="555"/>
      <c r="I77" s="629">
        <f t="shared" si="7"/>
        <v>0</v>
      </c>
      <c r="J77" s="629">
        <f t="shared" si="8"/>
        <v>0</v>
      </c>
      <c r="K77" s="629">
        <f t="shared" si="9"/>
        <v>0</v>
      </c>
      <c r="L77" s="516" t="str">
        <f t="shared" si="10"/>
        <v/>
      </c>
      <c r="M77" s="516" t="str">
        <f t="shared" si="11"/>
        <v/>
      </c>
      <c r="N77" s="516" t="str">
        <f t="shared" si="12"/>
        <v/>
      </c>
      <c r="O77" s="586"/>
      <c r="P77" s="586"/>
      <c r="Q77" s="586"/>
      <c r="R77" s="586" t="s">
        <v>149</v>
      </c>
      <c r="S77" s="586"/>
      <c r="T77" s="515"/>
      <c r="U77" s="515"/>
      <c r="V77" s="515"/>
      <c r="W77" s="515" t="s">
        <v>666</v>
      </c>
      <c r="X77" s="515"/>
      <c r="Y77" s="626"/>
      <c r="Z77" s="518"/>
      <c r="AA77" s="521"/>
      <c r="AB77" s="518"/>
      <c r="AC77" s="518"/>
      <c r="AD77" s="518"/>
    </row>
    <row r="78" spans="1:30" ht="72" customHeight="1">
      <c r="A78" s="517"/>
      <c r="B78" s="560">
        <v>61</v>
      </c>
      <c r="C78" s="515" t="s">
        <v>642</v>
      </c>
      <c r="D78" s="596"/>
      <c r="E78" s="515"/>
      <c r="F78" s="515"/>
      <c r="G78" s="515"/>
      <c r="H78" s="555"/>
      <c r="I78" s="629" t="str">
        <f t="shared" si="7"/>
        <v>7</v>
      </c>
      <c r="J78" s="629"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629"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516" t="str">
        <f t="shared" si="10"/>
        <v>7</v>
      </c>
      <c r="M78" s="516"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516"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586" t="s">
        <v>93</v>
      </c>
      <c r="P78" s="586"/>
      <c r="Q78" s="586"/>
      <c r="R78" s="586"/>
      <c r="S78" s="586"/>
      <c r="T78" s="515" t="s">
        <v>667</v>
      </c>
      <c r="U78" s="515"/>
      <c r="V78" s="515"/>
      <c r="W78" s="515"/>
      <c r="X78" s="515"/>
      <c r="Y78" s="626"/>
      <c r="Z78" s="518" t="s">
        <v>668</v>
      </c>
      <c r="AA78" s="521"/>
      <c r="AB78" s="518"/>
      <c r="AC78" s="518"/>
      <c r="AD78" s="518"/>
    </row>
    <row r="79" spans="1:30" ht="36" customHeight="1">
      <c r="A79" s="517"/>
      <c r="B79" s="560">
        <v>62</v>
      </c>
      <c r="C79" s="515" t="s">
        <v>644</v>
      </c>
      <c r="D79" s="596"/>
      <c r="E79" s="515"/>
      <c r="F79" s="515"/>
      <c r="G79" s="515"/>
      <c r="H79" s="555"/>
      <c r="I79" s="629" t="str">
        <f t="shared" si="7"/>
        <v>8</v>
      </c>
      <c r="J79" s="629" t="str">
        <f t="shared" si="8"/>
        <v>Тепловая нагрузка по договорам, заключенным в рамках осуществления регулируемых видов деятельности</v>
      </c>
      <c r="K79" s="629"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516" t="str">
        <f t="shared" si="10"/>
        <v>8</v>
      </c>
      <c r="M79" s="516" t="str">
        <f t="shared" si="11"/>
        <v>Тепловая нагрузка по договорам, заключенным в рамках осуществления регулируемых видов деятельности</v>
      </c>
      <c r="N79" s="516"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586" t="s">
        <v>112</v>
      </c>
      <c r="P79" s="586"/>
      <c r="Q79" s="586"/>
      <c r="R79" s="586"/>
      <c r="S79" s="586"/>
      <c r="T79" s="515" t="s">
        <v>669</v>
      </c>
      <c r="U79" s="515"/>
      <c r="V79" s="515"/>
      <c r="W79" s="515"/>
      <c r="X79" s="515"/>
      <c r="Y79" s="626"/>
      <c r="Z79" s="518" t="s">
        <v>670</v>
      </c>
      <c r="AA79" s="521"/>
      <c r="AB79" s="518"/>
      <c r="AC79" s="518"/>
      <c r="AD79" s="518"/>
    </row>
    <row r="80" spans="1:30" ht="45" customHeight="1">
      <c r="A80" s="517"/>
      <c r="B80" s="560">
        <v>63</v>
      </c>
      <c r="C80" s="515" t="s">
        <v>646</v>
      </c>
      <c r="D80" s="596"/>
      <c r="E80" s="515"/>
      <c r="F80" s="515"/>
      <c r="G80" s="515"/>
      <c r="H80" s="555"/>
      <c r="I80" s="629" t="str">
        <f t="shared" si="7"/>
        <v>9</v>
      </c>
      <c r="J80" s="629" t="str">
        <f t="shared" si="8"/>
        <v>Объем вырабатываемой регулируемой организацией тепловой энергии в рамках осуществления регулируемых видов деятельности</v>
      </c>
      <c r="K80" s="629"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516" t="str">
        <f t="shared" si="10"/>
        <v>9</v>
      </c>
      <c r="M80" s="516" t="str">
        <f t="shared" si="11"/>
        <v>Объем вырабатываемой регулируемой организацией тепловой энергии в рамках осуществления регулируемых видов деятельности</v>
      </c>
      <c r="N80" s="516"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586" t="s">
        <v>149</v>
      </c>
      <c r="P80" s="586"/>
      <c r="Q80" s="586"/>
      <c r="R80" s="586"/>
      <c r="S80" s="586"/>
      <c r="T80" s="515" t="s">
        <v>671</v>
      </c>
      <c r="U80" s="515"/>
      <c r="V80" s="515"/>
      <c r="W80" s="515"/>
      <c r="X80" s="515"/>
      <c r="Y80" s="626"/>
      <c r="Z80" s="518" t="s">
        <v>672</v>
      </c>
      <c r="AA80" s="521"/>
      <c r="AB80" s="518"/>
      <c r="AC80" s="518"/>
      <c r="AD80" s="518"/>
    </row>
    <row r="81" spans="1:30" ht="36" customHeight="1">
      <c r="A81" s="517"/>
      <c r="B81" s="560">
        <v>64</v>
      </c>
      <c r="C81" s="515" t="s">
        <v>648</v>
      </c>
      <c r="D81" s="596"/>
      <c r="E81" s="515"/>
      <c r="F81" s="515"/>
      <c r="G81" s="515"/>
      <c r="H81" s="555"/>
      <c r="I81" s="629" t="str">
        <f t="shared" si="7"/>
        <v>9.1</v>
      </c>
      <c r="J81" s="629" t="str">
        <f t="shared" si="8"/>
        <v>Объем приобретаемой регулируемой организацией тепловой энергии в рамках осуществления регулируемых видов деятельности</v>
      </c>
      <c r="K81" s="629" t="str">
        <f t="shared" si="9"/>
        <v>Информация указывается только едиными теплоснабжающими организациями.</v>
      </c>
      <c r="L81" s="516" t="str">
        <f t="shared" si="10"/>
        <v>9.1</v>
      </c>
      <c r="M81" s="516" t="str">
        <f t="shared" si="11"/>
        <v>Объем приобретаемой регулируемой организацией тепловой энергии в рамках осуществления регулируемых видов деятельности</v>
      </c>
      <c r="N81" s="516" t="str">
        <f t="shared" si="12"/>
        <v>Информация указывается только едиными теплоснабжающими организациями.</v>
      </c>
      <c r="O81" s="586" t="s">
        <v>533</v>
      </c>
      <c r="P81" s="586"/>
      <c r="Q81" s="586"/>
      <c r="R81" s="586"/>
      <c r="S81" s="586"/>
      <c r="T81" s="515" t="s">
        <v>673</v>
      </c>
      <c r="U81" s="515"/>
      <c r="V81" s="515"/>
      <c r="W81" s="515"/>
      <c r="X81" s="515"/>
      <c r="Y81" s="626"/>
      <c r="Z81" s="518" t="s">
        <v>674</v>
      </c>
      <c r="AA81" s="521"/>
      <c r="AB81" s="518"/>
      <c r="AC81" s="518"/>
      <c r="AD81" s="518"/>
    </row>
    <row r="82" spans="1:30" ht="90" customHeight="1">
      <c r="A82" s="517"/>
      <c r="B82" s="560">
        <v>65</v>
      </c>
      <c r="C82" s="515" t="s">
        <v>657</v>
      </c>
      <c r="D82" s="596"/>
      <c r="E82" s="515"/>
      <c r="F82" s="515"/>
      <c r="G82" s="515"/>
      <c r="H82" s="555"/>
      <c r="I82" s="629" t="str">
        <f t="shared" ref="I82:I101" si="13">INDEX(TEMPLATE_NUMBER_POINT_FHD,B82,MATCH(TEMPLATE_SPHERE,TEMPLATE_SPHERE_LIST_FOR_NOTE,0))</f>
        <v>10</v>
      </c>
      <c r="J82" s="629"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629"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516" t="str">
        <f t="shared" ref="L82:L101" si="16">IF(I82=0,"",I82)</f>
        <v>10</v>
      </c>
      <c r="M82" s="516"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516"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586" t="s">
        <v>150</v>
      </c>
      <c r="P82" s="586"/>
      <c r="Q82" s="586"/>
      <c r="R82" s="586"/>
      <c r="S82" s="586"/>
      <c r="T82" s="515" t="s">
        <v>675</v>
      </c>
      <c r="U82" s="515"/>
      <c r="V82" s="515"/>
      <c r="W82" s="515"/>
      <c r="X82" s="515"/>
      <c r="Y82" s="626"/>
      <c r="Z82" s="518" t="s">
        <v>676</v>
      </c>
      <c r="AA82" s="521"/>
      <c r="AB82" s="518"/>
      <c r="AC82" s="518"/>
      <c r="AD82" s="518"/>
    </row>
    <row r="83" spans="1:30" ht="9" customHeight="1">
      <c r="A83" s="517"/>
      <c r="B83" s="560">
        <v>66</v>
      </c>
      <c r="C83" s="515"/>
      <c r="D83" s="596"/>
      <c r="E83" s="515"/>
      <c r="F83" s="515"/>
      <c r="G83" s="515"/>
      <c r="H83" s="555"/>
      <c r="I83" s="629" t="str">
        <f t="shared" si="13"/>
        <v>10.1</v>
      </c>
      <c r="J83" s="629" t="str">
        <f t="shared" si="14"/>
        <v xml:space="preserve">По приборам учёта </v>
      </c>
      <c r="K83" s="629">
        <f t="shared" si="15"/>
        <v>0</v>
      </c>
      <c r="L83" s="516" t="str">
        <f t="shared" si="16"/>
        <v>10.1</v>
      </c>
      <c r="M83" s="516" t="str">
        <f t="shared" si="17"/>
        <v xml:space="preserve">По приборам учёта </v>
      </c>
      <c r="N83" s="516" t="str">
        <f t="shared" si="18"/>
        <v/>
      </c>
      <c r="O83" s="586" t="s">
        <v>545</v>
      </c>
      <c r="P83" s="586"/>
      <c r="Q83" s="586"/>
      <c r="R83" s="586"/>
      <c r="S83" s="586"/>
      <c r="T83" s="515" t="s">
        <v>677</v>
      </c>
      <c r="U83" s="515"/>
      <c r="V83" s="515"/>
      <c r="W83" s="515"/>
      <c r="X83" s="515"/>
      <c r="Y83" s="626"/>
      <c r="Z83" s="518"/>
      <c r="AA83" s="521"/>
      <c r="AB83" s="518"/>
      <c r="AC83" s="518"/>
      <c r="AD83" s="518"/>
    </row>
    <row r="84" spans="1:30" ht="54" customHeight="1">
      <c r="A84" s="517"/>
      <c r="B84" s="560">
        <v>67</v>
      </c>
      <c r="C84" s="515"/>
      <c r="D84" s="596"/>
      <c r="E84" s="515"/>
      <c r="F84" s="515"/>
      <c r="G84" s="515"/>
      <c r="H84" s="555"/>
      <c r="I84" s="629" t="str">
        <f t="shared" si="13"/>
        <v>10.1.1</v>
      </c>
      <c r="J84" s="629"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629">
        <f t="shared" si="15"/>
        <v>0</v>
      </c>
      <c r="L84" s="516" t="str">
        <f t="shared" si="16"/>
        <v>10.1.1</v>
      </c>
      <c r="M84" s="516"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516" t="str">
        <f t="shared" si="18"/>
        <v/>
      </c>
      <c r="O84" s="586" t="s">
        <v>678</v>
      </c>
      <c r="P84" s="586"/>
      <c r="Q84" s="586"/>
      <c r="R84" s="586"/>
      <c r="S84" s="586"/>
      <c r="T84" s="515" t="s">
        <v>679</v>
      </c>
      <c r="U84" s="515"/>
      <c r="V84" s="515"/>
      <c r="W84" s="515"/>
      <c r="X84" s="515"/>
      <c r="Y84" s="626"/>
      <c r="Z84" s="518"/>
      <c r="AA84" s="521"/>
      <c r="AB84" s="518"/>
      <c r="AC84" s="518"/>
      <c r="AD84" s="518"/>
    </row>
    <row r="85" spans="1:30" ht="9" customHeight="1">
      <c r="A85" s="517"/>
      <c r="B85" s="560">
        <v>68</v>
      </c>
      <c r="C85" s="515"/>
      <c r="D85" s="596"/>
      <c r="E85" s="515"/>
      <c r="F85" s="515"/>
      <c r="G85" s="515"/>
      <c r="H85" s="555"/>
      <c r="I85" s="629" t="str">
        <f t="shared" si="13"/>
        <v>10.2</v>
      </c>
      <c r="J85" s="629" t="str">
        <f t="shared" si="14"/>
        <v>Расчётным путём</v>
      </c>
      <c r="K85" s="629">
        <f t="shared" si="15"/>
        <v>0</v>
      </c>
      <c r="L85" s="516" t="str">
        <f t="shared" si="16"/>
        <v>10.2</v>
      </c>
      <c r="M85" s="516" t="str">
        <f t="shared" si="17"/>
        <v>Расчётным путём</v>
      </c>
      <c r="N85" s="516" t="str">
        <f t="shared" si="18"/>
        <v/>
      </c>
      <c r="O85" s="586" t="s">
        <v>549</v>
      </c>
      <c r="P85" s="586"/>
      <c r="Q85" s="586"/>
      <c r="R85" s="586"/>
      <c r="S85" s="586"/>
      <c r="T85" s="515" t="s">
        <v>680</v>
      </c>
      <c r="U85" s="515"/>
      <c r="V85" s="515"/>
      <c r="W85" s="515"/>
      <c r="X85" s="515"/>
      <c r="Y85" s="626"/>
      <c r="Z85" s="518"/>
      <c r="AA85" s="521"/>
      <c r="AB85" s="518"/>
      <c r="AC85" s="518"/>
      <c r="AD85" s="518"/>
    </row>
    <row r="86" spans="1:30" ht="27" customHeight="1">
      <c r="A86" s="517"/>
      <c r="B86" s="560">
        <v>69</v>
      </c>
      <c r="C86" s="515"/>
      <c r="D86" s="596"/>
      <c r="E86" s="515"/>
      <c r="F86" s="515"/>
      <c r="G86" s="515"/>
      <c r="H86" s="555"/>
      <c r="I86" s="629" t="str">
        <f t="shared" si="13"/>
        <v>10.3</v>
      </c>
      <c r="J86" s="629" t="str">
        <f t="shared" si="14"/>
        <v>По нормативам потребления коммунальных услуг и нормативам потребления коммунальных ресурсов</v>
      </c>
      <c r="K86" s="629">
        <f t="shared" si="15"/>
        <v>0</v>
      </c>
      <c r="L86" s="516" t="str">
        <f t="shared" si="16"/>
        <v>10.3</v>
      </c>
      <c r="M86" s="516" t="str">
        <f t="shared" si="17"/>
        <v>По нормативам потребления коммунальных услуг и нормативам потребления коммунальных ресурсов</v>
      </c>
      <c r="N86" s="516" t="str">
        <f t="shared" si="18"/>
        <v/>
      </c>
      <c r="O86" s="586" t="s">
        <v>681</v>
      </c>
      <c r="P86" s="586"/>
      <c r="Q86" s="586"/>
      <c r="R86" s="586"/>
      <c r="S86" s="586"/>
      <c r="T86" s="515" t="s">
        <v>682</v>
      </c>
      <c r="U86" s="515"/>
      <c r="V86" s="515"/>
      <c r="W86" s="515"/>
      <c r="X86" s="515"/>
      <c r="Y86" s="626"/>
      <c r="Z86" s="518"/>
      <c r="AA86" s="521"/>
      <c r="AB86" s="518"/>
      <c r="AC86" s="518"/>
      <c r="AD86" s="518"/>
    </row>
    <row r="87" spans="1:30" ht="36" customHeight="1">
      <c r="A87" s="517"/>
      <c r="B87" s="560">
        <v>70</v>
      </c>
      <c r="C87" s="515" t="s">
        <v>683</v>
      </c>
      <c r="D87" s="596"/>
      <c r="E87" s="515"/>
      <c r="F87" s="515"/>
      <c r="G87" s="515"/>
      <c r="H87" s="555"/>
      <c r="I87" s="629" t="str">
        <f t="shared" si="13"/>
        <v>11</v>
      </c>
      <c r="J87" s="629"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629">
        <f t="shared" si="15"/>
        <v>0</v>
      </c>
      <c r="L87" s="516" t="str">
        <f t="shared" si="16"/>
        <v>11</v>
      </c>
      <c r="M87" s="516"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516" t="str">
        <f t="shared" si="18"/>
        <v/>
      </c>
      <c r="O87" s="586" t="s">
        <v>151</v>
      </c>
      <c r="P87" s="586"/>
      <c r="Q87" s="586"/>
      <c r="R87" s="586"/>
      <c r="S87" s="586"/>
      <c r="T87" s="515" t="s">
        <v>684</v>
      </c>
      <c r="U87" s="515"/>
      <c r="V87" s="515"/>
      <c r="W87" s="515"/>
      <c r="X87" s="515"/>
      <c r="Y87" s="626"/>
      <c r="Z87" s="518"/>
      <c r="AA87" s="521"/>
      <c r="AB87" s="518"/>
      <c r="AC87" s="518"/>
      <c r="AD87" s="518"/>
    </row>
    <row r="88" spans="1:30" ht="18" customHeight="1">
      <c r="A88" s="517"/>
      <c r="B88" s="560">
        <v>71</v>
      </c>
      <c r="C88" s="515" t="s">
        <v>685</v>
      </c>
      <c r="D88" s="596"/>
      <c r="E88" s="515"/>
      <c r="F88" s="515"/>
      <c r="G88" s="515"/>
      <c r="H88" s="555"/>
      <c r="I88" s="629" t="str">
        <f t="shared" si="13"/>
        <v>12</v>
      </c>
      <c r="J88" s="629" t="str">
        <f t="shared" si="14"/>
        <v>Фактический объем потерь при передаче тепловой энергии</v>
      </c>
      <c r="K88" s="629">
        <f t="shared" si="15"/>
        <v>0</v>
      </c>
      <c r="L88" s="516" t="str">
        <f t="shared" si="16"/>
        <v>12</v>
      </c>
      <c r="M88" s="516" t="str">
        <f t="shared" si="17"/>
        <v>Фактический объем потерь при передаче тепловой энергии</v>
      </c>
      <c r="N88" s="516" t="str">
        <f t="shared" si="18"/>
        <v/>
      </c>
      <c r="O88" s="586" t="s">
        <v>152</v>
      </c>
      <c r="P88" s="586"/>
      <c r="Q88" s="586"/>
      <c r="R88" s="586"/>
      <c r="S88" s="586"/>
      <c r="T88" s="515" t="s">
        <v>686</v>
      </c>
      <c r="U88" s="515"/>
      <c r="V88" s="515"/>
      <c r="W88" s="515"/>
      <c r="X88" s="515"/>
      <c r="Y88" s="626"/>
      <c r="Z88" s="518"/>
      <c r="AA88" s="521"/>
      <c r="AB88" s="518"/>
      <c r="AC88" s="518"/>
      <c r="AD88" s="518"/>
    </row>
    <row r="89" spans="1:30" ht="18" customHeight="1">
      <c r="A89" s="517"/>
      <c r="B89" s="560">
        <v>72</v>
      </c>
      <c r="C89" s="515" t="s">
        <v>687</v>
      </c>
      <c r="D89" s="596" t="s">
        <v>683</v>
      </c>
      <c r="E89" s="515" t="s">
        <v>683</v>
      </c>
      <c r="F89" s="515" t="s">
        <v>648</v>
      </c>
      <c r="G89" s="515"/>
      <c r="H89" s="555"/>
      <c r="I89" s="629" t="str">
        <f t="shared" si="13"/>
        <v>13</v>
      </c>
      <c r="J89" s="629" t="str">
        <f t="shared" si="14"/>
        <v>Среднесписочная численность основного производственного персонала</v>
      </c>
      <c r="K89" s="629">
        <f t="shared" si="15"/>
        <v>0</v>
      </c>
      <c r="L89" s="516" t="str">
        <f t="shared" si="16"/>
        <v>13</v>
      </c>
      <c r="M89" s="516" t="str">
        <f t="shared" si="17"/>
        <v>Среднесписочная численность основного производственного персонала</v>
      </c>
      <c r="N89" s="516" t="str">
        <f t="shared" si="18"/>
        <v/>
      </c>
      <c r="O89" s="586" t="s">
        <v>153</v>
      </c>
      <c r="P89" s="586" t="s">
        <v>152</v>
      </c>
      <c r="Q89" s="586" t="s">
        <v>152</v>
      </c>
      <c r="R89" s="586" t="s">
        <v>150</v>
      </c>
      <c r="S89" s="586"/>
      <c r="T89" s="515" t="s">
        <v>688</v>
      </c>
      <c r="U89" s="515" t="s">
        <v>688</v>
      </c>
      <c r="V89" s="515" t="s">
        <v>688</v>
      </c>
      <c r="W89" s="515" t="s">
        <v>688</v>
      </c>
      <c r="X89" s="515"/>
      <c r="Y89" s="626"/>
      <c r="Z89" s="518"/>
      <c r="AA89" s="521"/>
      <c r="AB89" s="518"/>
      <c r="AC89" s="518"/>
      <c r="AD89" s="518"/>
    </row>
    <row r="90" spans="1:30" ht="27" customHeight="1">
      <c r="A90" s="517"/>
      <c r="B90" s="560">
        <v>73</v>
      </c>
      <c r="C90" s="515" t="s">
        <v>689</v>
      </c>
      <c r="D90" s="596"/>
      <c r="E90" s="515"/>
      <c r="F90" s="515"/>
      <c r="G90" s="515"/>
      <c r="H90" s="555"/>
      <c r="I90" s="629" t="str">
        <f t="shared" si="13"/>
        <v>14</v>
      </c>
      <c r="J90" s="629" t="str">
        <f t="shared" si="14"/>
        <v>Среднесписочная численность административно-управленческого персонала</v>
      </c>
      <c r="K90" s="629">
        <f t="shared" si="15"/>
        <v>0</v>
      </c>
      <c r="L90" s="516" t="str">
        <f t="shared" si="16"/>
        <v>14</v>
      </c>
      <c r="M90" s="516" t="str">
        <f t="shared" si="17"/>
        <v>Среднесписочная численность административно-управленческого персонала</v>
      </c>
      <c r="N90" s="516" t="str">
        <f t="shared" si="18"/>
        <v/>
      </c>
      <c r="O90" s="586" t="s">
        <v>154</v>
      </c>
      <c r="P90" s="586"/>
      <c r="Q90" s="586"/>
      <c r="R90" s="586"/>
      <c r="S90" s="586"/>
      <c r="T90" s="515" t="s">
        <v>690</v>
      </c>
      <c r="U90" s="515"/>
      <c r="V90" s="515"/>
      <c r="W90" s="515"/>
      <c r="X90" s="515"/>
      <c r="Y90" s="626"/>
      <c r="Z90" s="518"/>
      <c r="AA90" s="521"/>
      <c r="AB90" s="518"/>
      <c r="AC90" s="518"/>
      <c r="AD90" s="518"/>
    </row>
    <row r="91" spans="1:30" ht="18" customHeight="1">
      <c r="A91" s="517"/>
      <c r="B91" s="560">
        <v>74</v>
      </c>
      <c r="C91" s="515"/>
      <c r="D91" s="596" t="s">
        <v>685</v>
      </c>
      <c r="E91" s="515" t="s">
        <v>685</v>
      </c>
      <c r="F91" s="515"/>
      <c r="G91" s="515"/>
      <c r="H91" s="555"/>
      <c r="I91" s="629">
        <f t="shared" si="13"/>
        <v>0</v>
      </c>
      <c r="J91" s="629">
        <f t="shared" si="14"/>
        <v>0</v>
      </c>
      <c r="K91" s="629">
        <f t="shared" si="15"/>
        <v>0</v>
      </c>
      <c r="L91" s="516" t="str">
        <f t="shared" si="16"/>
        <v/>
      </c>
      <c r="M91" s="516" t="str">
        <f t="shared" si="17"/>
        <v/>
      </c>
      <c r="N91" s="516" t="str">
        <f t="shared" si="18"/>
        <v/>
      </c>
      <c r="O91" s="586"/>
      <c r="P91" s="586" t="s">
        <v>153</v>
      </c>
      <c r="Q91" s="586" t="s">
        <v>153</v>
      </c>
      <c r="R91" s="586"/>
      <c r="S91" s="586"/>
      <c r="T91" s="515"/>
      <c r="U91" s="515" t="s">
        <v>691</v>
      </c>
      <c r="V91" s="515" t="s">
        <v>691</v>
      </c>
      <c r="W91" s="515"/>
      <c r="X91" s="515"/>
      <c r="Y91" s="626"/>
      <c r="Z91" s="518"/>
      <c r="AA91" s="521"/>
      <c r="AB91" s="518"/>
      <c r="AC91" s="518"/>
      <c r="AD91" s="518"/>
    </row>
    <row r="92" spans="1:30" ht="27" customHeight="1">
      <c r="A92" s="517"/>
      <c r="B92" s="560">
        <v>75</v>
      </c>
      <c r="C92" s="515"/>
      <c r="D92" s="596" t="s">
        <v>687</v>
      </c>
      <c r="E92" s="515"/>
      <c r="F92" s="515"/>
      <c r="G92" s="515"/>
      <c r="H92" s="555"/>
      <c r="I92" s="629">
        <f t="shared" si="13"/>
        <v>0</v>
      </c>
      <c r="J92" s="629">
        <f t="shared" si="14"/>
        <v>0</v>
      </c>
      <c r="K92" s="629">
        <f t="shared" si="15"/>
        <v>0</v>
      </c>
      <c r="L92" s="516" t="str">
        <f t="shared" si="16"/>
        <v/>
      </c>
      <c r="M92" s="516" t="str">
        <f t="shared" si="17"/>
        <v/>
      </c>
      <c r="N92" s="516" t="str">
        <f t="shared" si="18"/>
        <v/>
      </c>
      <c r="O92" s="586"/>
      <c r="P92" s="586" t="s">
        <v>154</v>
      </c>
      <c r="Q92" s="586"/>
      <c r="R92" s="586"/>
      <c r="S92" s="586"/>
      <c r="T92" s="515"/>
      <c r="U92" s="515" t="s">
        <v>692</v>
      </c>
      <c r="V92" s="515"/>
      <c r="W92" s="515"/>
      <c r="X92" s="515"/>
      <c r="Y92" s="626"/>
      <c r="Z92" s="518"/>
      <c r="AA92" s="521" t="s">
        <v>693</v>
      </c>
      <c r="AB92" s="518"/>
      <c r="AC92" s="518"/>
      <c r="AD92" s="518"/>
    </row>
    <row r="93" spans="1:30" ht="27" customHeight="1">
      <c r="A93" s="517"/>
      <c r="B93" s="560">
        <v>76</v>
      </c>
      <c r="C93" s="515"/>
      <c r="D93" s="596"/>
      <c r="E93" s="515"/>
      <c r="F93" s="515"/>
      <c r="G93" s="515"/>
      <c r="H93" s="555"/>
      <c r="I93" s="629">
        <f t="shared" si="13"/>
        <v>0</v>
      </c>
      <c r="J93" s="629">
        <f t="shared" si="14"/>
        <v>0</v>
      </c>
      <c r="K93" s="629">
        <f t="shared" si="15"/>
        <v>0</v>
      </c>
      <c r="L93" s="516" t="str">
        <f t="shared" si="16"/>
        <v/>
      </c>
      <c r="M93" s="516" t="str">
        <f t="shared" si="17"/>
        <v/>
      </c>
      <c r="N93" s="516" t="str">
        <f t="shared" si="18"/>
        <v/>
      </c>
      <c r="O93" s="586"/>
      <c r="P93" s="586" t="s">
        <v>579</v>
      </c>
      <c r="Q93" s="586"/>
      <c r="R93" s="586"/>
      <c r="S93" s="586"/>
      <c r="T93" s="515"/>
      <c r="U93" s="515" t="s">
        <v>694</v>
      </c>
      <c r="V93" s="515"/>
      <c r="W93" s="515"/>
      <c r="X93" s="515"/>
      <c r="Y93" s="626"/>
      <c r="Z93" s="518"/>
      <c r="AA93" s="521" t="s">
        <v>695</v>
      </c>
      <c r="AB93" s="518"/>
      <c r="AC93" s="518"/>
      <c r="AD93" s="518"/>
    </row>
    <row r="94" spans="1:30" ht="45" customHeight="1">
      <c r="A94" s="517"/>
      <c r="B94" s="560">
        <v>77</v>
      </c>
      <c r="C94" s="515"/>
      <c r="D94" s="596" t="s">
        <v>689</v>
      </c>
      <c r="E94" s="515"/>
      <c r="F94" s="515"/>
      <c r="G94" s="515"/>
      <c r="H94" s="555"/>
      <c r="I94" s="629">
        <f t="shared" si="13"/>
        <v>0</v>
      </c>
      <c r="J94" s="629">
        <f t="shared" si="14"/>
        <v>0</v>
      </c>
      <c r="K94" s="629">
        <f t="shared" si="15"/>
        <v>0</v>
      </c>
      <c r="L94" s="516" t="str">
        <f t="shared" si="16"/>
        <v/>
      </c>
      <c r="M94" s="516" t="str">
        <f t="shared" si="17"/>
        <v/>
      </c>
      <c r="N94" s="516" t="str">
        <f t="shared" si="18"/>
        <v/>
      </c>
      <c r="O94" s="586"/>
      <c r="P94" s="586" t="s">
        <v>696</v>
      </c>
      <c r="Q94" s="586"/>
      <c r="R94" s="586"/>
      <c r="S94" s="586"/>
      <c r="T94" s="515"/>
      <c r="U94" s="515" t="s">
        <v>697</v>
      </c>
      <c r="V94" s="515"/>
      <c r="W94" s="515"/>
      <c r="X94" s="515"/>
      <c r="Y94" s="626"/>
      <c r="Z94" s="518"/>
      <c r="AA94" s="521" t="s">
        <v>698</v>
      </c>
      <c r="AB94" s="518"/>
      <c r="AC94" s="518"/>
      <c r="AD94" s="518"/>
    </row>
    <row r="95" spans="1:30" ht="99" customHeight="1">
      <c r="A95" s="517"/>
      <c r="B95" s="560">
        <v>78</v>
      </c>
      <c r="C95" s="515" t="s">
        <v>699</v>
      </c>
      <c r="D95" s="596"/>
      <c r="E95" s="515"/>
      <c r="F95" s="515"/>
      <c r="G95" s="515"/>
      <c r="H95" s="555"/>
      <c r="I95" s="629" t="str">
        <f t="shared" si="13"/>
        <v>15</v>
      </c>
      <c r="J95" s="629"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629">
        <f t="shared" si="15"/>
        <v>0</v>
      </c>
      <c r="L95" s="516" t="str">
        <f t="shared" si="16"/>
        <v>15</v>
      </c>
      <c r="M95" s="516"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516" t="str">
        <f t="shared" si="18"/>
        <v/>
      </c>
      <c r="O95" s="586" t="s">
        <v>696</v>
      </c>
      <c r="P95" s="586"/>
      <c r="Q95" s="586"/>
      <c r="R95" s="586"/>
      <c r="S95" s="586"/>
      <c r="T95" s="515" t="s">
        <v>700</v>
      </c>
      <c r="U95" s="515"/>
      <c r="V95" s="515"/>
      <c r="W95" s="515"/>
      <c r="X95" s="515"/>
      <c r="Y95" s="626"/>
      <c r="Z95" s="518"/>
      <c r="AA95" s="521"/>
      <c r="AB95" s="518"/>
      <c r="AC95" s="518"/>
      <c r="AD95" s="518"/>
    </row>
    <row r="96" spans="1:30" ht="99" customHeight="1">
      <c r="A96" s="517"/>
      <c r="B96" s="560">
        <v>79</v>
      </c>
      <c r="C96" s="515" t="s">
        <v>701</v>
      </c>
      <c r="D96" s="596"/>
      <c r="E96" s="515"/>
      <c r="F96" s="515"/>
      <c r="G96" s="515"/>
      <c r="H96" s="555"/>
      <c r="I96" s="629" t="str">
        <f t="shared" si="13"/>
        <v>16</v>
      </c>
      <c r="J96" s="629"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629"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516" t="str">
        <f t="shared" si="16"/>
        <v>16</v>
      </c>
      <c r="M96" s="516"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516"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586" t="s">
        <v>398</v>
      </c>
      <c r="P96" s="586"/>
      <c r="Q96" s="586"/>
      <c r="R96" s="586"/>
      <c r="S96" s="586"/>
      <c r="T96" s="515" t="s">
        <v>702</v>
      </c>
      <c r="U96" s="515"/>
      <c r="V96" s="515"/>
      <c r="W96" s="515"/>
      <c r="X96" s="515"/>
      <c r="Y96" s="626"/>
      <c r="Z96" s="518" t="s">
        <v>703</v>
      </c>
      <c r="AA96" s="521"/>
      <c r="AB96" s="518"/>
      <c r="AC96" s="518"/>
      <c r="AD96" s="518"/>
    </row>
    <row r="97" spans="1:30" ht="63" customHeight="1">
      <c r="A97" s="517"/>
      <c r="B97" s="560">
        <v>80</v>
      </c>
      <c r="C97" s="515" t="s">
        <v>704</v>
      </c>
      <c r="D97" s="596"/>
      <c r="E97" s="515"/>
      <c r="F97" s="515"/>
      <c r="G97" s="515"/>
      <c r="H97" s="555"/>
      <c r="I97" s="629" t="str">
        <f t="shared" si="13"/>
        <v>17</v>
      </c>
      <c r="J97" s="629"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629" t="str">
        <f t="shared" si="15"/>
        <v>Регулируемыми организациями указывается информация с по договорам, заключенным в рамках осуществления регулируемой деятельности.</v>
      </c>
      <c r="L97" s="516" t="str">
        <f t="shared" si="16"/>
        <v>17</v>
      </c>
      <c r="M97" s="516"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516" t="str">
        <f t="shared" si="18"/>
        <v>Регулируемыми организациями указывается информация с по договорам, заключенным в рамках осуществления регулируемой деятельности.</v>
      </c>
      <c r="O97" s="586" t="s">
        <v>705</v>
      </c>
      <c r="P97" s="586"/>
      <c r="Q97" s="586"/>
      <c r="R97" s="586"/>
      <c r="S97" s="586"/>
      <c r="T97" s="515" t="s">
        <v>706</v>
      </c>
      <c r="U97" s="515"/>
      <c r="V97" s="515"/>
      <c r="W97" s="515"/>
      <c r="X97" s="515"/>
      <c r="Y97" s="626"/>
      <c r="Z97" s="518" t="s">
        <v>707</v>
      </c>
      <c r="AA97" s="521"/>
      <c r="AB97" s="518"/>
      <c r="AC97" s="518"/>
      <c r="AD97" s="518"/>
    </row>
    <row r="98" spans="1:30" ht="63" customHeight="1">
      <c r="A98" s="517"/>
      <c r="B98" s="560">
        <v>81</v>
      </c>
      <c r="C98" s="515" t="s">
        <v>708</v>
      </c>
      <c r="D98" s="596"/>
      <c r="E98" s="515"/>
      <c r="F98" s="515"/>
      <c r="G98" s="515"/>
      <c r="H98" s="555"/>
      <c r="I98" s="629" t="str">
        <f t="shared" si="13"/>
        <v>18</v>
      </c>
      <c r="J98" s="629"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629" t="str">
        <f t="shared" si="15"/>
        <v>Регулируемыми организациями указывается информация с по договорам, заключенным в рамках осуществления регулируемой деятельности.</v>
      </c>
      <c r="L98" s="516" t="str">
        <f t="shared" si="16"/>
        <v>18</v>
      </c>
      <c r="M98" s="516"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516" t="str">
        <f t="shared" si="18"/>
        <v>Регулируемыми организациями указывается информация с по договорам, заключенным в рамках осуществления регулируемой деятельности.</v>
      </c>
      <c r="O98" s="586" t="s">
        <v>709</v>
      </c>
      <c r="P98" s="586"/>
      <c r="Q98" s="586"/>
      <c r="R98" s="586"/>
      <c r="S98" s="586"/>
      <c r="T98" s="515" t="s">
        <v>710</v>
      </c>
      <c r="U98" s="515"/>
      <c r="V98" s="515"/>
      <c r="W98" s="515"/>
      <c r="X98" s="515"/>
      <c r="Y98" s="626"/>
      <c r="Z98" s="518" t="s">
        <v>707</v>
      </c>
      <c r="AA98" s="521"/>
      <c r="AB98" s="518"/>
      <c r="AC98" s="518"/>
      <c r="AD98" s="518"/>
    </row>
    <row r="99" spans="1:30" ht="90" customHeight="1">
      <c r="A99" s="517"/>
      <c r="B99" s="560">
        <v>82</v>
      </c>
      <c r="C99" s="515" t="s">
        <v>711</v>
      </c>
      <c r="D99" s="596"/>
      <c r="E99" s="515"/>
      <c r="F99" s="515"/>
      <c r="G99" s="515"/>
      <c r="H99" s="555"/>
      <c r="I99" s="629" t="str">
        <f t="shared" si="13"/>
        <v>19</v>
      </c>
      <c r="J99" s="629"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629" t="str">
        <f t="shared" si="15"/>
        <v>Указывается ссылка на документ, предварительно загруженный в хранилище файлов ФГИС ЕИАС.</v>
      </c>
      <c r="L99" s="516" t="str">
        <f t="shared" si="16"/>
        <v>19</v>
      </c>
      <c r="M99" s="516"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516" t="str">
        <f t="shared" si="18"/>
        <v>Указывается ссылка на документ, предварительно загруженный в хранилище файлов ФГИС ЕИАС.</v>
      </c>
      <c r="O99" s="586" t="s">
        <v>460</v>
      </c>
      <c r="P99" s="586"/>
      <c r="Q99" s="586"/>
      <c r="R99" s="586"/>
      <c r="S99" s="586"/>
      <c r="T99" s="515" t="s">
        <v>712</v>
      </c>
      <c r="U99" s="515"/>
      <c r="V99" s="515"/>
      <c r="W99" s="515"/>
      <c r="X99" s="515"/>
      <c r="Y99" s="626"/>
      <c r="Z99" s="518" t="s">
        <v>713</v>
      </c>
      <c r="AA99" s="521"/>
      <c r="AB99" s="518"/>
      <c r="AC99" s="518"/>
      <c r="AD99" s="518"/>
    </row>
    <row r="100" spans="1:30" ht="27" customHeight="1">
      <c r="A100" s="517"/>
      <c r="B100" s="560">
        <v>83</v>
      </c>
      <c r="C100" s="515"/>
      <c r="D100" s="596"/>
      <c r="E100" s="515"/>
      <c r="F100" s="515"/>
      <c r="G100" s="515"/>
      <c r="H100" s="555"/>
      <c r="I100" s="629" t="str">
        <f t="shared" si="13"/>
        <v>19.1</v>
      </c>
      <c r="J100" s="629" t="str">
        <f t="shared" si="14"/>
        <v>Информация о показателях физического износа объектов теплоснабжения</v>
      </c>
      <c r="K100" s="629" t="str">
        <f t="shared" si="15"/>
        <v>Указывается ссылка на документ, предварительно загруженный в хранилище файлов ФГИС ЕИАС.</v>
      </c>
      <c r="L100" s="516" t="str">
        <f t="shared" si="16"/>
        <v>19.1</v>
      </c>
      <c r="M100" s="516" t="str">
        <f t="shared" si="17"/>
        <v>Информация о показателях физического износа объектов теплоснабжения</v>
      </c>
      <c r="N100" s="516" t="str">
        <f t="shared" si="18"/>
        <v>Указывается ссылка на документ, предварительно загруженный в хранилище файлов ФГИС ЕИАС.</v>
      </c>
      <c r="O100" s="586" t="s">
        <v>714</v>
      </c>
      <c r="P100" s="586"/>
      <c r="Q100" s="586"/>
      <c r="R100" s="586"/>
      <c r="S100" s="586"/>
      <c r="T100" s="515" t="s">
        <v>715</v>
      </c>
      <c r="U100" s="515"/>
      <c r="V100" s="515"/>
      <c r="W100" s="515"/>
      <c r="X100" s="515"/>
      <c r="Y100" s="626"/>
      <c r="Z100" s="518" t="s">
        <v>713</v>
      </c>
      <c r="AA100" s="521"/>
      <c r="AB100" s="518"/>
      <c r="AC100" s="518"/>
      <c r="AD100" s="518"/>
    </row>
    <row r="101" spans="1:30" ht="27" customHeight="1">
      <c r="A101" s="517"/>
      <c r="B101" s="560">
        <v>84</v>
      </c>
      <c r="C101" s="515"/>
      <c r="D101" s="596"/>
      <c r="E101" s="515"/>
      <c r="F101" s="515"/>
      <c r="G101" s="515"/>
      <c r="H101" s="555"/>
      <c r="I101" s="629" t="str">
        <f t="shared" si="13"/>
        <v>19.2</v>
      </c>
      <c r="J101" s="629" t="str">
        <f t="shared" si="14"/>
        <v>Информация о показателях энергетической эффективности объектов теплоснабжения</v>
      </c>
      <c r="K101" s="629" t="str">
        <f t="shared" si="15"/>
        <v>Указывается ссылка на документ, предварительно загруженный в хранилище файлов ФГИС ЕИАС.</v>
      </c>
      <c r="L101" s="516" t="str">
        <f t="shared" si="16"/>
        <v>19.2</v>
      </c>
      <c r="M101" s="516" t="str">
        <f t="shared" si="17"/>
        <v>Информация о показателях энергетической эффективности объектов теплоснабжения</v>
      </c>
      <c r="N101" s="516" t="str">
        <f t="shared" si="18"/>
        <v>Указывается ссылка на документ, предварительно загруженный в хранилище файлов ФГИС ЕИАС.</v>
      </c>
      <c r="O101" s="586" t="s">
        <v>716</v>
      </c>
      <c r="P101" s="586"/>
      <c r="Q101" s="586"/>
      <c r="R101" s="586"/>
      <c r="S101" s="586"/>
      <c r="T101" s="515" t="s">
        <v>717</v>
      </c>
      <c r="U101" s="515"/>
      <c r="V101" s="515"/>
      <c r="W101" s="515"/>
      <c r="X101" s="515"/>
      <c r="Y101" s="626"/>
      <c r="Z101" s="518" t="s">
        <v>713</v>
      </c>
      <c r="AA101" s="521"/>
      <c r="AB101" s="518"/>
      <c r="AC101" s="518"/>
      <c r="AD101" s="518"/>
    </row>
    <row r="102" spans="1:30" ht="9" customHeight="1">
      <c r="A102" s="517"/>
      <c r="B102" s="517"/>
      <c r="C102" s="515"/>
      <c r="D102" s="515"/>
      <c r="E102" s="515"/>
      <c r="F102" s="515"/>
      <c r="G102" s="515"/>
      <c r="H102" s="555"/>
      <c r="I102" s="555"/>
      <c r="J102" s="555"/>
      <c r="K102" s="555"/>
      <c r="L102" s="555"/>
      <c r="M102" s="515"/>
      <c r="N102" s="554"/>
      <c r="O102" s="586"/>
      <c r="P102" s="586"/>
      <c r="Q102" s="586"/>
      <c r="R102" s="586"/>
      <c r="S102" s="515"/>
      <c r="T102" s="515"/>
      <c r="U102" s="515"/>
      <c r="V102" s="515"/>
      <c r="W102" s="515"/>
      <c r="X102" s="515"/>
      <c r="Y102" s="626"/>
      <c r="Z102" s="518"/>
      <c r="AA102" s="521"/>
      <c r="AB102" s="518"/>
      <c r="AC102" s="518"/>
      <c r="AD102" s="518"/>
    </row>
    <row r="103" spans="1:30" ht="9" customHeight="1">
      <c r="A103" s="517"/>
      <c r="B103" s="517"/>
      <c r="C103" s="515"/>
      <c r="D103" s="515"/>
      <c r="E103" s="515"/>
      <c r="F103" s="515"/>
      <c r="G103" s="515"/>
      <c r="H103" s="555"/>
      <c r="I103" s="555"/>
      <c r="J103" s="555"/>
      <c r="K103" s="555"/>
      <c r="L103" s="555"/>
      <c r="M103" s="515"/>
      <c r="N103" s="554"/>
      <c r="O103" s="586"/>
      <c r="P103" s="586"/>
      <c r="Q103" s="586"/>
      <c r="R103" s="586"/>
      <c r="S103" s="515"/>
      <c r="T103" s="515"/>
      <c r="U103" s="515"/>
      <c r="V103" s="515"/>
      <c r="W103" s="515"/>
      <c r="X103" s="515"/>
      <c r="Y103" s="626"/>
      <c r="Z103" s="518"/>
      <c r="AA103" s="521"/>
      <c r="AB103" s="518"/>
      <c r="AC103" s="518"/>
      <c r="AD103" s="518"/>
    </row>
    <row r="104" spans="1:30" ht="9" customHeight="1">
      <c r="A104" s="517"/>
      <c r="B104" s="517"/>
      <c r="C104" s="515"/>
      <c r="D104" s="515"/>
      <c r="E104" s="515"/>
      <c r="F104" s="515"/>
      <c r="G104" s="515"/>
      <c r="H104" s="555"/>
      <c r="I104" s="555"/>
      <c r="J104" s="555"/>
      <c r="K104" s="555"/>
      <c r="L104" s="555"/>
      <c r="M104" s="515"/>
      <c r="N104" s="554"/>
      <c r="O104" s="586"/>
      <c r="P104" s="586"/>
      <c r="Q104" s="586"/>
      <c r="R104" s="586"/>
      <c r="S104" s="515"/>
      <c r="T104" s="515"/>
      <c r="U104" s="515"/>
      <c r="V104" s="515"/>
      <c r="W104" s="515"/>
      <c r="X104" s="515"/>
      <c r="Y104" s="626"/>
      <c r="Z104" s="518"/>
      <c r="AA104" s="521"/>
      <c r="AB104" s="518"/>
      <c r="AC104" s="518"/>
      <c r="AD104" s="518"/>
    </row>
    <row r="105" spans="1:30" ht="9" customHeight="1">
      <c r="A105" s="517"/>
      <c r="B105" s="517"/>
      <c r="C105" s="515"/>
      <c r="D105" s="515"/>
      <c r="E105" s="515"/>
      <c r="F105" s="515"/>
      <c r="G105" s="515"/>
      <c r="H105" s="555"/>
      <c r="I105" s="555"/>
      <c r="J105" s="555"/>
      <c r="K105" s="555"/>
      <c r="L105" s="555"/>
      <c r="M105" s="515"/>
      <c r="N105" s="554"/>
      <c r="O105" s="586"/>
      <c r="P105" s="586"/>
      <c r="Q105" s="586"/>
      <c r="R105" s="586"/>
      <c r="S105" s="515"/>
      <c r="T105" s="515"/>
      <c r="U105" s="515"/>
      <c r="V105" s="515"/>
      <c r="W105" s="515"/>
      <c r="X105" s="515"/>
      <c r="Y105" s="626"/>
      <c r="Z105" s="518"/>
      <c r="AA105" s="521"/>
      <c r="AB105" s="518"/>
      <c r="AC105" s="518"/>
      <c r="AD105" s="518"/>
    </row>
    <row r="106" spans="1:30" ht="9" customHeight="1">
      <c r="A106" s="517"/>
      <c r="B106" s="517"/>
      <c r="C106" s="515"/>
      <c r="D106" s="515"/>
      <c r="E106" s="515"/>
      <c r="F106" s="515"/>
      <c r="G106" s="515"/>
      <c r="H106" s="555"/>
      <c r="I106" s="555"/>
      <c r="J106" s="555"/>
      <c r="K106" s="555"/>
      <c r="L106" s="555"/>
      <c r="M106" s="515"/>
      <c r="N106" s="554"/>
      <c r="O106" s="586"/>
      <c r="P106" s="586"/>
      <c r="Q106" s="586"/>
      <c r="R106" s="586"/>
      <c r="S106" s="515"/>
      <c r="T106" s="515"/>
      <c r="U106" s="515"/>
      <c r="V106" s="515"/>
      <c r="W106" s="515"/>
      <c r="X106" s="515"/>
      <c r="Y106" s="626"/>
      <c r="Z106" s="518"/>
      <c r="AA106" s="521"/>
      <c r="AB106" s="518"/>
      <c r="AC106" s="518"/>
      <c r="AD106" s="518"/>
    </row>
    <row r="107" spans="1:30" ht="9" customHeight="1">
      <c r="A107" s="517"/>
      <c r="B107" s="517"/>
      <c r="C107" s="515"/>
      <c r="D107" s="515"/>
      <c r="E107" s="515"/>
      <c r="F107" s="515"/>
      <c r="G107" s="515"/>
      <c r="H107" s="555"/>
      <c r="I107" s="555"/>
      <c r="J107" s="555"/>
      <c r="K107" s="555"/>
      <c r="L107" s="555"/>
      <c r="M107" s="515"/>
      <c r="N107" s="554"/>
      <c r="O107" s="586"/>
      <c r="P107" s="586"/>
      <c r="Q107" s="586"/>
      <c r="R107" s="586"/>
      <c r="S107" s="515"/>
      <c r="T107" s="515"/>
      <c r="U107" s="515"/>
      <c r="V107" s="515"/>
      <c r="W107" s="515"/>
      <c r="X107" s="515"/>
      <c r="Y107" s="626"/>
      <c r="Z107" s="518"/>
      <c r="AA107" s="521"/>
      <c r="AB107" s="518"/>
      <c r="AC107" s="518"/>
      <c r="AD107" s="518"/>
    </row>
    <row r="108" spans="1:30" ht="9" customHeight="1">
      <c r="A108" s="517"/>
      <c r="B108" s="517"/>
      <c r="C108" s="515"/>
      <c r="D108" s="515"/>
      <c r="E108" s="515"/>
      <c r="F108" s="515"/>
      <c r="G108" s="515"/>
      <c r="H108" s="555"/>
      <c r="I108" s="555"/>
      <c r="J108" s="555"/>
      <c r="K108" s="555"/>
      <c r="L108" s="555"/>
      <c r="M108" s="515"/>
      <c r="N108" s="554"/>
      <c r="O108" s="586"/>
      <c r="P108" s="586"/>
      <c r="Q108" s="586"/>
      <c r="R108" s="586"/>
      <c r="S108" s="515"/>
      <c r="T108" s="515"/>
      <c r="U108" s="515"/>
      <c r="V108" s="515"/>
      <c r="W108" s="515"/>
      <c r="X108" s="515"/>
      <c r="Y108" s="626"/>
      <c r="Z108" s="518"/>
      <c r="AA108" s="521"/>
      <c r="AB108" s="518"/>
      <c r="AC108" s="518"/>
      <c r="AD108" s="518"/>
    </row>
    <row r="109" spans="1:30" ht="9" customHeight="1">
      <c r="A109" s="517"/>
      <c r="B109" s="517"/>
      <c r="C109" s="515"/>
      <c r="D109" s="515"/>
      <c r="E109" s="515"/>
      <c r="F109" s="515"/>
      <c r="G109" s="515"/>
      <c r="H109" s="555"/>
      <c r="I109" s="555"/>
      <c r="J109" s="555"/>
      <c r="K109" s="555"/>
      <c r="L109" s="555"/>
      <c r="M109" s="515"/>
      <c r="N109" s="554"/>
      <c r="O109" s="586"/>
      <c r="P109" s="586"/>
      <c r="Q109" s="586"/>
      <c r="R109" s="586"/>
      <c r="S109" s="515"/>
      <c r="T109" s="515"/>
      <c r="U109" s="515"/>
      <c r="V109" s="515"/>
      <c r="W109" s="515"/>
      <c r="X109" s="515"/>
      <c r="Y109" s="626"/>
      <c r="Z109" s="518"/>
      <c r="AA109" s="521"/>
      <c r="AB109" s="518"/>
      <c r="AC109" s="518"/>
      <c r="AD109" s="518"/>
    </row>
    <row r="110" spans="1:30" ht="9" customHeight="1">
      <c r="A110" s="517"/>
      <c r="B110" s="517"/>
      <c r="C110" s="515"/>
      <c r="D110" s="515"/>
      <c r="E110" s="515"/>
      <c r="F110" s="515"/>
      <c r="G110" s="515"/>
      <c r="H110" s="555"/>
      <c r="I110" s="555"/>
      <c r="J110" s="555"/>
      <c r="K110" s="555"/>
      <c r="L110" s="555"/>
      <c r="M110" s="515"/>
      <c r="N110" s="554"/>
      <c r="O110" s="586"/>
      <c r="P110" s="586"/>
      <c r="Q110" s="586"/>
      <c r="R110" s="586"/>
      <c r="S110" s="515"/>
      <c r="T110" s="515"/>
      <c r="U110" s="515"/>
      <c r="V110" s="515"/>
      <c r="W110" s="515"/>
      <c r="X110" s="515"/>
      <c r="Y110" s="626"/>
      <c r="Z110" s="518"/>
      <c r="AA110" s="521"/>
      <c r="AB110" s="518"/>
      <c r="AC110" s="518"/>
      <c r="AD110" s="518"/>
    </row>
    <row r="111" spans="1:30" ht="9" customHeight="1">
      <c r="A111" s="517"/>
      <c r="B111" s="517"/>
      <c r="C111" s="515"/>
      <c r="D111" s="515"/>
      <c r="E111" s="515"/>
      <c r="F111" s="515"/>
      <c r="G111" s="515"/>
      <c r="H111" s="555"/>
      <c r="I111" s="555"/>
      <c r="J111" s="555"/>
      <c r="K111" s="555"/>
      <c r="L111" s="555"/>
      <c r="M111" s="515"/>
      <c r="N111" s="554"/>
      <c r="O111" s="586"/>
      <c r="P111" s="586"/>
      <c r="Q111" s="586"/>
      <c r="R111" s="586"/>
      <c r="S111" s="515"/>
      <c r="T111" s="515"/>
      <c r="U111" s="515"/>
      <c r="V111" s="515"/>
      <c r="W111" s="515"/>
      <c r="X111" s="515"/>
      <c r="Y111" s="626"/>
      <c r="Z111" s="518"/>
      <c r="AA111" s="521"/>
      <c r="AB111" s="518"/>
      <c r="AC111" s="518"/>
      <c r="AD111" s="518"/>
    </row>
    <row r="112" spans="1:30" ht="9" customHeight="1">
      <c r="A112" s="517"/>
      <c r="B112" s="517"/>
      <c r="C112" s="515"/>
      <c r="D112" s="515"/>
      <c r="E112" s="515"/>
      <c r="F112" s="515"/>
      <c r="G112" s="515"/>
      <c r="H112" s="555"/>
      <c r="I112" s="555"/>
      <c r="J112" s="555"/>
      <c r="K112" s="555"/>
      <c r="L112" s="555"/>
      <c r="M112" s="515"/>
      <c r="N112" s="554"/>
      <c r="O112" s="586"/>
      <c r="P112" s="586"/>
      <c r="Q112" s="586"/>
      <c r="R112" s="586"/>
      <c r="S112" s="515"/>
      <c r="T112" s="515"/>
      <c r="U112" s="515"/>
      <c r="V112" s="515"/>
      <c r="W112" s="515"/>
      <c r="X112" s="515"/>
      <c r="Y112" s="626"/>
      <c r="Z112" s="518"/>
      <c r="AA112" s="521"/>
      <c r="AB112" s="518"/>
      <c r="AC112" s="518"/>
      <c r="AD112" s="518"/>
    </row>
    <row r="113" spans="1:30" ht="9" customHeight="1">
      <c r="A113" s="517"/>
      <c r="B113" s="517"/>
      <c r="C113" s="515"/>
      <c r="D113" s="515"/>
      <c r="E113" s="515"/>
      <c r="F113" s="515"/>
      <c r="G113" s="515"/>
      <c r="H113" s="555"/>
      <c r="I113" s="555"/>
      <c r="J113" s="555"/>
      <c r="K113" s="555"/>
      <c r="L113" s="555"/>
      <c r="M113" s="515"/>
      <c r="N113" s="554"/>
      <c r="O113" s="586"/>
      <c r="P113" s="586"/>
      <c r="Q113" s="586"/>
      <c r="R113" s="586"/>
      <c r="S113" s="515"/>
      <c r="T113" s="515"/>
      <c r="U113" s="515"/>
      <c r="V113" s="515"/>
      <c r="W113" s="515"/>
      <c r="X113" s="515"/>
      <c r="Y113" s="626"/>
      <c r="Z113" s="518"/>
      <c r="AA113" s="521"/>
      <c r="AB113" s="518"/>
      <c r="AC113" s="518"/>
      <c r="AD113" s="518"/>
    </row>
    <row r="114" spans="1:30" ht="9" customHeight="1">
      <c r="A114" s="517"/>
      <c r="B114" s="517"/>
      <c r="C114" s="515"/>
      <c r="D114" s="515"/>
      <c r="E114" s="515"/>
      <c r="F114" s="515"/>
      <c r="G114" s="515"/>
      <c r="H114" s="555"/>
      <c r="I114" s="555"/>
      <c r="J114" s="555"/>
      <c r="K114" s="555"/>
      <c r="L114" s="555"/>
      <c r="M114" s="515"/>
      <c r="N114" s="554"/>
      <c r="O114" s="586"/>
      <c r="P114" s="586"/>
      <c r="Q114" s="586"/>
      <c r="R114" s="586"/>
      <c r="S114" s="515"/>
      <c r="T114" s="515"/>
      <c r="U114" s="515"/>
      <c r="V114" s="515"/>
      <c r="W114" s="515"/>
      <c r="X114" s="515"/>
      <c r="Y114" s="626"/>
      <c r="Z114" s="518"/>
      <c r="AA114" s="521"/>
      <c r="AB114" s="518"/>
      <c r="AC114" s="518"/>
      <c r="AD114" s="518"/>
    </row>
    <row r="115" spans="1:30" ht="9" customHeight="1">
      <c r="A115" s="517"/>
      <c r="B115" s="517"/>
      <c r="C115" s="515"/>
      <c r="D115" s="515"/>
      <c r="E115" s="515"/>
      <c r="F115" s="515"/>
      <c r="G115" s="515"/>
      <c r="H115" s="555"/>
      <c r="I115" s="555"/>
      <c r="J115" s="555"/>
      <c r="K115" s="555"/>
      <c r="L115" s="555"/>
      <c r="M115" s="515"/>
      <c r="N115" s="554"/>
      <c r="O115" s="586"/>
      <c r="P115" s="586"/>
      <c r="Q115" s="586"/>
      <c r="R115" s="586"/>
      <c r="S115" s="515"/>
      <c r="T115" s="515"/>
      <c r="U115" s="515"/>
      <c r="V115" s="515"/>
      <c r="W115" s="515"/>
      <c r="X115" s="515"/>
      <c r="Y115" s="626"/>
      <c r="Z115" s="518"/>
      <c r="AA115" s="521"/>
      <c r="AB115" s="518"/>
      <c r="AC115" s="518"/>
      <c r="AD115" s="518"/>
    </row>
    <row r="116" spans="1:30" ht="9" customHeight="1">
      <c r="A116" s="517"/>
      <c r="B116" s="517"/>
      <c r="C116" s="515"/>
      <c r="D116" s="515"/>
      <c r="E116" s="515"/>
      <c r="F116" s="515"/>
      <c r="G116" s="515"/>
      <c r="H116" s="555"/>
      <c r="I116" s="555"/>
      <c r="J116" s="555"/>
      <c r="K116" s="555"/>
      <c r="L116" s="555"/>
      <c r="M116" s="515"/>
      <c r="N116" s="554"/>
      <c r="O116" s="586"/>
      <c r="P116" s="586"/>
      <c r="Q116" s="586"/>
      <c r="R116" s="586"/>
      <c r="S116" s="515"/>
      <c r="T116" s="515"/>
      <c r="U116" s="515"/>
      <c r="V116" s="515"/>
      <c r="W116" s="515"/>
      <c r="X116" s="515"/>
      <c r="Y116" s="626"/>
      <c r="Z116" s="518"/>
      <c r="AA116" s="521"/>
      <c r="AB116" s="518"/>
      <c r="AC116" s="518"/>
      <c r="AD116" s="518"/>
    </row>
    <row r="117" spans="1:30" ht="9" customHeight="1">
      <c r="A117" s="517"/>
      <c r="B117" s="517"/>
      <c r="C117" s="515"/>
      <c r="D117" s="515"/>
      <c r="E117" s="515"/>
      <c r="F117" s="515"/>
      <c r="G117" s="515"/>
      <c r="H117" s="555"/>
      <c r="I117" s="555"/>
      <c r="J117" s="555"/>
      <c r="K117" s="555"/>
      <c r="L117" s="555"/>
      <c r="M117" s="515"/>
      <c r="N117" s="554"/>
      <c r="O117" s="586"/>
      <c r="P117" s="586"/>
      <c r="Q117" s="586"/>
      <c r="R117" s="586"/>
      <c r="S117" s="515"/>
      <c r="T117" s="515"/>
      <c r="U117" s="515"/>
      <c r="V117" s="515"/>
      <c r="W117" s="515"/>
      <c r="X117" s="515"/>
      <c r="Y117" s="626"/>
      <c r="Z117" s="518"/>
      <c r="AA117" s="521"/>
      <c r="AB117" s="518"/>
      <c r="AC117" s="518"/>
      <c r="AD117" s="518"/>
    </row>
    <row r="118" spans="1:30" ht="9" customHeight="1">
      <c r="A118" s="517"/>
      <c r="B118" s="517"/>
      <c r="C118" s="515"/>
      <c r="D118" s="515"/>
      <c r="E118" s="515"/>
      <c r="F118" s="515"/>
      <c r="G118" s="515"/>
      <c r="H118" s="555"/>
      <c r="I118" s="555"/>
      <c r="J118" s="555"/>
      <c r="K118" s="555"/>
      <c r="L118" s="555"/>
      <c r="M118" s="515"/>
      <c r="N118" s="554"/>
      <c r="O118" s="586"/>
      <c r="P118" s="586"/>
      <c r="Q118" s="586"/>
      <c r="R118" s="586"/>
      <c r="S118" s="515"/>
      <c r="T118" s="515"/>
      <c r="U118" s="515"/>
      <c r="V118" s="515"/>
      <c r="W118" s="515"/>
      <c r="X118" s="515"/>
      <c r="Y118" s="626"/>
      <c r="Z118" s="518"/>
      <c r="AA118" s="521"/>
      <c r="AB118" s="518"/>
      <c r="AC118" s="518"/>
      <c r="AD118" s="518"/>
    </row>
    <row r="119" spans="1:30" ht="9" customHeight="1">
      <c r="A119" s="517"/>
      <c r="B119" s="517"/>
      <c r="C119" s="515"/>
      <c r="D119" s="515"/>
      <c r="E119" s="515"/>
      <c r="F119" s="515"/>
      <c r="G119" s="515"/>
      <c r="H119" s="555"/>
      <c r="I119" s="555"/>
      <c r="J119" s="555"/>
      <c r="K119" s="555"/>
      <c r="L119" s="555"/>
      <c r="M119" s="515"/>
      <c r="N119" s="554"/>
      <c r="O119" s="586"/>
      <c r="P119" s="586"/>
      <c r="Q119" s="586"/>
      <c r="R119" s="586"/>
      <c r="S119" s="515"/>
      <c r="T119" s="515"/>
      <c r="U119" s="515"/>
      <c r="V119" s="515"/>
      <c r="W119" s="515"/>
      <c r="X119" s="515"/>
      <c r="Y119" s="626"/>
      <c r="Z119" s="518"/>
      <c r="AA119" s="521"/>
      <c r="AB119" s="518"/>
      <c r="AC119" s="518"/>
      <c r="AD119" s="518"/>
    </row>
    <row r="120" spans="1:30" ht="9" customHeight="1">
      <c r="A120" s="517"/>
      <c r="B120" s="517"/>
      <c r="C120" s="515"/>
      <c r="D120" s="515"/>
      <c r="E120" s="515"/>
      <c r="F120" s="515"/>
      <c r="G120" s="515"/>
      <c r="H120" s="555"/>
      <c r="I120" s="555"/>
      <c r="J120" s="555"/>
      <c r="K120" s="555"/>
      <c r="L120" s="555"/>
      <c r="M120" s="515"/>
      <c r="N120" s="554"/>
      <c r="O120" s="586"/>
      <c r="P120" s="586"/>
      <c r="Q120" s="586"/>
      <c r="R120" s="586"/>
      <c r="S120" s="515"/>
      <c r="T120" s="515"/>
      <c r="U120" s="515"/>
      <c r="V120" s="515"/>
      <c r="W120" s="515"/>
      <c r="X120" s="515"/>
      <c r="Y120" s="626"/>
      <c r="Z120" s="518"/>
      <c r="AA120" s="521"/>
      <c r="AB120" s="518"/>
      <c r="AC120" s="518"/>
      <c r="AD120" s="518"/>
    </row>
    <row r="121" spans="1:30" ht="9" customHeight="1">
      <c r="A121" s="517"/>
      <c r="B121" s="517"/>
      <c r="C121" s="515"/>
      <c r="D121" s="515"/>
      <c r="E121" s="515"/>
      <c r="F121" s="515"/>
      <c r="G121" s="515"/>
      <c r="H121" s="555"/>
      <c r="I121" s="555"/>
      <c r="J121" s="555"/>
      <c r="K121" s="555"/>
      <c r="L121" s="555"/>
      <c r="M121" s="515"/>
      <c r="N121" s="554"/>
      <c r="O121" s="586"/>
      <c r="P121" s="586"/>
      <c r="Q121" s="586"/>
      <c r="R121" s="586"/>
      <c r="S121" s="515"/>
      <c r="T121" s="515"/>
      <c r="U121" s="515"/>
      <c r="V121" s="515"/>
      <c r="W121" s="515"/>
      <c r="X121" s="515"/>
      <c r="Y121" s="626"/>
      <c r="Z121" s="518"/>
      <c r="AA121" s="521"/>
      <c r="AB121" s="518"/>
      <c r="AC121" s="518"/>
      <c r="AD121" s="518"/>
    </row>
    <row r="122" spans="1:30" ht="9" customHeight="1">
      <c r="A122" s="517"/>
      <c r="B122" s="517"/>
      <c r="C122" s="515"/>
      <c r="D122" s="515"/>
      <c r="E122" s="515"/>
      <c r="F122" s="515"/>
      <c r="G122" s="515"/>
      <c r="H122" s="555"/>
      <c r="I122" s="555"/>
      <c r="J122" s="555"/>
      <c r="K122" s="555"/>
      <c r="L122" s="555"/>
      <c r="M122" s="515"/>
      <c r="N122" s="554"/>
      <c r="O122" s="586"/>
      <c r="P122" s="586"/>
      <c r="Q122" s="586"/>
      <c r="R122" s="586"/>
      <c r="S122" s="515"/>
      <c r="T122" s="515"/>
      <c r="U122" s="515"/>
      <c r="V122" s="515"/>
      <c r="W122" s="515"/>
      <c r="X122" s="515"/>
      <c r="Y122" s="626"/>
      <c r="Z122" s="518"/>
      <c r="AA122" s="521"/>
      <c r="AB122" s="518"/>
      <c r="AC122" s="518"/>
      <c r="AD122" s="518"/>
    </row>
    <row r="123" spans="1:30" ht="9" customHeight="1">
      <c r="A123" s="517"/>
      <c r="B123" s="517"/>
      <c r="C123" s="515"/>
      <c r="D123" s="515"/>
      <c r="E123" s="515"/>
      <c r="F123" s="515"/>
      <c r="G123" s="515"/>
      <c r="H123" s="555"/>
      <c r="I123" s="555"/>
      <c r="J123" s="555"/>
      <c r="K123" s="555"/>
      <c r="L123" s="555"/>
      <c r="M123" s="515"/>
      <c r="N123" s="554"/>
      <c r="O123" s="586"/>
      <c r="P123" s="586"/>
      <c r="Q123" s="586"/>
      <c r="R123" s="586"/>
      <c r="S123" s="515"/>
      <c r="T123" s="515"/>
      <c r="U123" s="515"/>
      <c r="V123" s="515"/>
      <c r="W123" s="515"/>
      <c r="X123" s="515"/>
      <c r="Y123" s="626"/>
      <c r="Z123" s="518"/>
      <c r="AA123" s="521"/>
      <c r="AB123" s="518"/>
      <c r="AC123" s="518"/>
      <c r="AD123" s="518"/>
    </row>
    <row r="124" spans="1:30" ht="9" customHeight="1">
      <c r="A124" s="517"/>
      <c r="B124" s="517"/>
      <c r="C124" s="515"/>
      <c r="D124" s="515"/>
      <c r="E124" s="515"/>
      <c r="F124" s="515"/>
      <c r="G124" s="515"/>
      <c r="H124" s="555"/>
      <c r="I124" s="555"/>
      <c r="J124" s="555"/>
      <c r="K124" s="555"/>
      <c r="L124" s="555"/>
      <c r="M124" s="515"/>
      <c r="N124" s="554"/>
      <c r="O124" s="586"/>
      <c r="P124" s="586"/>
      <c r="Q124" s="586"/>
      <c r="R124" s="586"/>
      <c r="S124" s="515"/>
      <c r="T124" s="515"/>
      <c r="U124" s="515"/>
      <c r="V124" s="515"/>
      <c r="W124" s="515"/>
      <c r="X124" s="515"/>
      <c r="Y124" s="626"/>
      <c r="Z124" s="518"/>
      <c r="AA124" s="521"/>
      <c r="AB124" s="518"/>
      <c r="AC124" s="518"/>
      <c r="AD124" s="518"/>
    </row>
    <row r="125" spans="1:30" ht="9" customHeight="1">
      <c r="A125" s="517"/>
      <c r="B125" s="517"/>
      <c r="C125" s="515"/>
      <c r="D125" s="515"/>
      <c r="E125" s="515"/>
      <c r="F125" s="515"/>
      <c r="G125" s="515"/>
      <c r="H125" s="555"/>
      <c r="I125" s="555"/>
      <c r="J125" s="555"/>
      <c r="K125" s="555"/>
      <c r="L125" s="555"/>
      <c r="M125" s="515"/>
      <c r="N125" s="554"/>
      <c r="O125" s="586"/>
      <c r="P125" s="586"/>
      <c r="Q125" s="586"/>
      <c r="R125" s="586"/>
      <c r="S125" s="515"/>
      <c r="T125" s="515"/>
      <c r="U125" s="515"/>
      <c r="V125" s="515"/>
      <c r="W125" s="515"/>
      <c r="X125" s="515"/>
      <c r="Y125" s="626"/>
      <c r="Z125" s="518"/>
      <c r="AA125" s="521"/>
      <c r="AB125" s="518"/>
      <c r="AC125" s="518"/>
      <c r="AD125" s="518"/>
    </row>
    <row r="126" spans="1:30" ht="9" customHeight="1">
      <c r="A126" s="517"/>
      <c r="B126" s="517"/>
      <c r="C126" s="515"/>
      <c r="D126" s="515"/>
      <c r="E126" s="515"/>
      <c r="F126" s="515"/>
      <c r="G126" s="515"/>
      <c r="H126" s="555"/>
      <c r="I126" s="555"/>
      <c r="J126" s="555"/>
      <c r="K126" s="555"/>
      <c r="L126" s="555"/>
      <c r="M126" s="515"/>
      <c r="N126" s="554"/>
      <c r="O126" s="586"/>
      <c r="P126" s="586"/>
      <c r="Q126" s="586"/>
      <c r="R126" s="586"/>
      <c r="S126" s="515"/>
      <c r="T126" s="515"/>
      <c r="U126" s="515"/>
      <c r="V126" s="515"/>
      <c r="W126" s="515"/>
      <c r="X126" s="515"/>
      <c r="Y126" s="626"/>
      <c r="Z126" s="518"/>
      <c r="AA126" s="521"/>
      <c r="AB126" s="518"/>
      <c r="AC126" s="518"/>
      <c r="AD126" s="518"/>
    </row>
    <row r="127" spans="1:30" ht="9" customHeight="1">
      <c r="A127" s="517"/>
      <c r="B127" s="517"/>
      <c r="C127" s="515"/>
      <c r="D127" s="515"/>
      <c r="E127" s="515"/>
      <c r="F127" s="515"/>
      <c r="G127" s="515"/>
      <c r="H127" s="555"/>
      <c r="I127" s="555"/>
      <c r="J127" s="555"/>
      <c r="K127" s="555"/>
      <c r="L127" s="555"/>
      <c r="M127" s="515"/>
      <c r="N127" s="554"/>
      <c r="O127" s="586"/>
      <c r="P127" s="586"/>
      <c r="Q127" s="586"/>
      <c r="R127" s="586"/>
      <c r="S127" s="515"/>
      <c r="T127" s="515"/>
      <c r="U127" s="515"/>
      <c r="V127" s="515"/>
      <c r="W127" s="515"/>
      <c r="X127" s="515"/>
      <c r="Y127" s="626"/>
      <c r="Z127" s="518"/>
      <c r="AA127" s="521"/>
      <c r="AB127" s="518"/>
      <c r="AC127" s="518"/>
      <c r="AD127" s="518"/>
    </row>
    <row r="128" spans="1:30" ht="9" customHeight="1">
      <c r="A128" s="517"/>
      <c r="B128" s="517"/>
      <c r="C128" s="515"/>
      <c r="D128" s="515"/>
      <c r="E128" s="515"/>
      <c r="F128" s="515"/>
      <c r="G128" s="515"/>
      <c r="H128" s="555"/>
      <c r="I128" s="555"/>
      <c r="J128" s="555"/>
      <c r="K128" s="555"/>
      <c r="L128" s="555"/>
      <c r="M128" s="515"/>
      <c r="N128" s="554"/>
      <c r="O128" s="586"/>
      <c r="P128" s="586"/>
      <c r="Q128" s="586"/>
      <c r="R128" s="586"/>
      <c r="S128" s="515"/>
      <c r="T128" s="515"/>
      <c r="U128" s="515"/>
      <c r="V128" s="515"/>
      <c r="W128" s="515"/>
      <c r="X128" s="515"/>
      <c r="Y128" s="626"/>
      <c r="Z128" s="518"/>
      <c r="AA128" s="521"/>
      <c r="AB128" s="518"/>
      <c r="AC128" s="518"/>
      <c r="AD128" s="518"/>
    </row>
    <row r="129" spans="1:30" ht="9" customHeight="1">
      <c r="A129" s="517"/>
      <c r="B129" s="517"/>
      <c r="C129" s="515"/>
      <c r="D129" s="515"/>
      <c r="E129" s="515"/>
      <c r="F129" s="515"/>
      <c r="G129" s="515"/>
      <c r="H129" s="555"/>
      <c r="I129" s="555"/>
      <c r="J129" s="555"/>
      <c r="K129" s="555"/>
      <c r="L129" s="555"/>
      <c r="M129" s="515"/>
      <c r="N129" s="554"/>
      <c r="O129" s="586"/>
      <c r="P129" s="586"/>
      <c r="Q129" s="586"/>
      <c r="R129" s="586"/>
      <c r="S129" s="515"/>
      <c r="T129" s="515"/>
      <c r="U129" s="515"/>
      <c r="V129" s="515"/>
      <c r="W129" s="515"/>
      <c r="X129" s="515"/>
      <c r="Y129" s="626"/>
      <c r="Z129" s="518"/>
      <c r="AA129" s="521"/>
      <c r="AB129" s="518"/>
      <c r="AC129" s="518"/>
      <c r="AD129" s="518"/>
    </row>
    <row r="130" spans="1:30" ht="9" customHeight="1">
      <c r="A130" s="517"/>
      <c r="B130" s="517"/>
      <c r="C130" s="515"/>
      <c r="D130" s="515"/>
      <c r="E130" s="515"/>
      <c r="F130" s="515"/>
      <c r="G130" s="515"/>
      <c r="H130" s="555"/>
      <c r="I130" s="555"/>
      <c r="J130" s="555"/>
      <c r="K130" s="555"/>
      <c r="L130" s="555"/>
      <c r="M130" s="515"/>
      <c r="N130" s="554"/>
      <c r="O130" s="588"/>
      <c r="P130" s="588"/>
      <c r="Q130" s="588"/>
      <c r="R130" s="588"/>
      <c r="S130" s="515"/>
      <c r="T130" s="515"/>
      <c r="U130" s="515"/>
      <c r="V130" s="515"/>
      <c r="W130" s="515"/>
      <c r="X130" s="515"/>
      <c r="Y130" s="626"/>
      <c r="Z130" s="518"/>
      <c r="AA130" s="521"/>
      <c r="AB130" s="518"/>
      <c r="AC130" s="518"/>
      <c r="AD130" s="518"/>
    </row>
    <row r="131" spans="1:30" ht="9" customHeight="1">
      <c r="A131" s="517"/>
      <c r="B131" s="517"/>
      <c r="C131" s="515"/>
      <c r="D131" s="515"/>
      <c r="E131" s="515"/>
      <c r="F131" s="515"/>
      <c r="G131" s="515"/>
      <c r="H131" s="555"/>
      <c r="I131" s="555"/>
      <c r="J131" s="555"/>
      <c r="K131" s="555"/>
      <c r="L131" s="555"/>
      <c r="M131" s="515"/>
      <c r="N131" s="554"/>
      <c r="O131" s="589"/>
      <c r="P131" s="589"/>
      <c r="Q131" s="589"/>
      <c r="R131" s="589"/>
      <c r="S131" s="515"/>
      <c r="T131" s="515"/>
      <c r="U131" s="515"/>
      <c r="V131" s="515"/>
      <c r="W131" s="515"/>
      <c r="X131" s="515"/>
      <c r="Y131" s="626"/>
      <c r="Z131" s="518"/>
      <c r="AA131" s="521"/>
      <c r="AB131" s="518"/>
      <c r="AC131" s="518"/>
      <c r="AD131" s="518"/>
    </row>
    <row r="132" spans="1:30" ht="9" customHeight="1">
      <c r="A132" s="517"/>
      <c r="B132" s="517"/>
      <c r="C132" s="515"/>
      <c r="D132" s="515"/>
      <c r="E132" s="515"/>
      <c r="F132" s="515"/>
      <c r="G132" s="515"/>
      <c r="H132" s="555"/>
      <c r="I132" s="555"/>
      <c r="J132" s="555"/>
      <c r="K132" s="555"/>
      <c r="L132" s="555"/>
      <c r="M132" s="515"/>
      <c r="N132" s="554"/>
      <c r="O132" s="588"/>
      <c r="P132" s="588"/>
      <c r="Q132" s="588"/>
      <c r="R132" s="588"/>
      <c r="S132" s="515"/>
      <c r="T132" s="515"/>
      <c r="U132" s="515"/>
      <c r="V132" s="515"/>
      <c r="W132" s="515"/>
      <c r="X132" s="515"/>
      <c r="Y132" s="626"/>
      <c r="Z132" s="518"/>
      <c r="AA132" s="521"/>
      <c r="AB132" s="518"/>
      <c r="AC132" s="518"/>
      <c r="AD132" s="518"/>
    </row>
    <row r="133" spans="1:30" ht="9" customHeight="1">
      <c r="A133" s="517"/>
      <c r="B133" s="517"/>
      <c r="C133" s="515"/>
      <c r="D133" s="515"/>
      <c r="E133" s="515"/>
      <c r="F133" s="515"/>
      <c r="G133" s="515"/>
      <c r="H133" s="555"/>
      <c r="I133" s="555"/>
      <c r="J133" s="555"/>
      <c r="K133" s="555"/>
      <c r="L133" s="555"/>
      <c r="M133" s="515"/>
      <c r="N133" s="554"/>
      <c r="O133" s="589"/>
      <c r="P133" s="589"/>
      <c r="Q133" s="589"/>
      <c r="R133" s="589"/>
      <c r="S133" s="515"/>
      <c r="T133" s="515"/>
      <c r="U133" s="515"/>
      <c r="V133" s="515"/>
      <c r="W133" s="515"/>
      <c r="X133" s="515"/>
      <c r="Y133" s="626"/>
      <c r="Z133" s="518"/>
      <c r="AA133" s="521"/>
      <c r="AB133" s="518"/>
      <c r="AC133" s="518"/>
      <c r="AD133" s="518"/>
    </row>
    <row r="134" spans="1:30" ht="9" customHeight="1">
      <c r="A134" s="517"/>
      <c r="B134" s="517"/>
      <c r="C134" s="515"/>
      <c r="D134" s="515"/>
      <c r="E134" s="515"/>
      <c r="F134" s="515"/>
      <c r="G134" s="515"/>
      <c r="H134" s="555"/>
      <c r="I134" s="555"/>
      <c r="J134" s="555"/>
      <c r="K134" s="555"/>
      <c r="L134" s="555"/>
      <c r="M134" s="515"/>
      <c r="N134" s="554"/>
      <c r="O134" s="586"/>
      <c r="P134" s="586"/>
      <c r="Q134" s="586"/>
      <c r="R134" s="586"/>
      <c r="S134" s="515"/>
      <c r="T134" s="515"/>
      <c r="U134" s="515"/>
      <c r="V134" s="515"/>
      <c r="W134" s="515"/>
      <c r="X134" s="515"/>
      <c r="Y134" s="626"/>
      <c r="Z134" s="518"/>
      <c r="AA134" s="521"/>
      <c r="AB134" s="518"/>
      <c r="AC134" s="518"/>
      <c r="AD134" s="518"/>
    </row>
    <row r="135" spans="1:30" ht="9" customHeight="1">
      <c r="A135" s="517"/>
      <c r="B135" s="517"/>
      <c r="C135" s="515"/>
      <c r="D135" s="515"/>
      <c r="E135" s="515"/>
      <c r="F135" s="515"/>
      <c r="G135" s="515"/>
      <c r="H135" s="555"/>
      <c r="I135" s="555"/>
      <c r="J135" s="555"/>
      <c r="K135" s="555"/>
      <c r="L135" s="555"/>
      <c r="M135" s="515"/>
      <c r="N135" s="554"/>
      <c r="O135" s="586"/>
      <c r="P135" s="586"/>
      <c r="Q135" s="586"/>
      <c r="R135" s="586"/>
      <c r="S135" s="515"/>
      <c r="T135" s="515"/>
      <c r="U135" s="515"/>
      <c r="V135" s="515"/>
      <c r="W135" s="515"/>
      <c r="X135" s="515"/>
      <c r="Y135" s="626"/>
      <c r="Z135" s="518"/>
      <c r="AA135" s="521"/>
      <c r="AB135" s="518"/>
      <c r="AC135" s="518"/>
      <c r="AD135" s="518"/>
    </row>
    <row r="136" spans="1:30" ht="9" customHeight="1">
      <c r="A136" s="517"/>
      <c r="B136" s="517"/>
      <c r="C136" s="515"/>
      <c r="D136" s="515"/>
      <c r="E136" s="515"/>
      <c r="F136" s="515"/>
      <c r="G136" s="515"/>
      <c r="H136" s="555"/>
      <c r="I136" s="555"/>
      <c r="J136" s="555"/>
      <c r="K136" s="555"/>
      <c r="L136" s="555"/>
      <c r="M136" s="515"/>
      <c r="N136" s="554"/>
      <c r="O136" s="586"/>
      <c r="P136" s="586"/>
      <c r="Q136" s="586"/>
      <c r="R136" s="586"/>
      <c r="S136" s="515"/>
      <c r="T136" s="515"/>
      <c r="U136" s="515"/>
      <c r="V136" s="515"/>
      <c r="W136" s="515"/>
      <c r="X136" s="515"/>
      <c r="Y136" s="626"/>
      <c r="Z136" s="518"/>
      <c r="AA136" s="521"/>
      <c r="AB136" s="518"/>
      <c r="AC136" s="518"/>
      <c r="AD136" s="518"/>
    </row>
    <row r="137" spans="1:30" ht="9" customHeight="1">
      <c r="A137" s="517"/>
      <c r="B137" s="517"/>
      <c r="C137" s="515"/>
      <c r="D137" s="515"/>
      <c r="E137" s="515"/>
      <c r="F137" s="515"/>
      <c r="G137" s="515"/>
      <c r="H137" s="555"/>
      <c r="I137" s="555"/>
      <c r="J137" s="555"/>
      <c r="K137" s="555"/>
      <c r="L137" s="555"/>
      <c r="M137" s="515"/>
      <c r="N137" s="554"/>
      <c r="O137" s="590"/>
      <c r="P137" s="590"/>
      <c r="Q137" s="590"/>
      <c r="R137" s="590"/>
      <c r="S137" s="515"/>
      <c r="T137" s="515"/>
      <c r="U137" s="515"/>
      <c r="V137" s="515"/>
      <c r="W137" s="515"/>
      <c r="X137" s="515"/>
      <c r="Y137" s="626"/>
      <c r="Z137" s="518"/>
      <c r="AA137" s="521"/>
      <c r="AB137" s="518"/>
      <c r="AC137" s="518"/>
      <c r="AD137" s="518"/>
    </row>
    <row r="138" spans="1:30" ht="9" customHeight="1">
      <c r="A138" s="517"/>
      <c r="B138" s="517"/>
      <c r="C138" s="515"/>
      <c r="D138" s="515"/>
      <c r="E138" s="515"/>
      <c r="F138" s="515"/>
      <c r="G138" s="515"/>
      <c r="H138" s="555"/>
      <c r="I138" s="555"/>
      <c r="J138" s="555"/>
      <c r="K138" s="555"/>
      <c r="L138" s="555"/>
      <c r="M138" s="515"/>
      <c r="N138" s="554"/>
      <c r="O138" s="587"/>
      <c r="P138" s="587"/>
      <c r="Q138" s="587"/>
      <c r="R138" s="587"/>
      <c r="S138" s="515"/>
      <c r="T138" s="515"/>
      <c r="U138" s="515"/>
      <c r="V138" s="515"/>
      <c r="W138" s="515"/>
      <c r="X138" s="515"/>
      <c r="Y138" s="626"/>
      <c r="Z138" s="518"/>
      <c r="AA138" s="521"/>
      <c r="AB138" s="518"/>
      <c r="AC138" s="518"/>
      <c r="AD138" s="518"/>
    </row>
    <row r="139" spans="1:30" ht="9" customHeight="1">
      <c r="A139" s="517"/>
      <c r="B139" s="517"/>
      <c r="C139" s="515"/>
      <c r="D139" s="515"/>
      <c r="E139" s="515"/>
      <c r="F139" s="515"/>
      <c r="G139" s="515"/>
      <c r="H139" s="555"/>
      <c r="I139" s="555"/>
      <c r="J139" s="555"/>
      <c r="K139" s="555"/>
      <c r="L139" s="555"/>
      <c r="M139" s="515"/>
      <c r="N139" s="554"/>
      <c r="O139" s="515"/>
      <c r="P139" s="515"/>
      <c r="Q139" s="515"/>
      <c r="R139" s="515"/>
      <c r="S139" s="515"/>
      <c r="T139" s="515"/>
      <c r="U139" s="515"/>
      <c r="V139" s="515"/>
      <c r="W139" s="515"/>
      <c r="X139" s="515"/>
      <c r="Y139" s="626"/>
      <c r="Z139" s="518"/>
      <c r="AA139" s="521"/>
      <c r="AB139" s="518"/>
      <c r="AC139" s="518"/>
      <c r="AD139" s="518"/>
    </row>
    <row r="140" spans="1:30" ht="9" customHeight="1">
      <c r="A140" s="517"/>
      <c r="B140" s="517"/>
      <c r="C140" s="515"/>
      <c r="D140" s="515"/>
      <c r="E140" s="515"/>
      <c r="F140" s="515"/>
      <c r="G140" s="515"/>
      <c r="H140" s="555"/>
      <c r="I140" s="555"/>
      <c r="J140" s="555"/>
      <c r="K140" s="555"/>
      <c r="L140" s="555"/>
      <c r="M140" s="515"/>
      <c r="N140" s="554"/>
      <c r="O140" s="515"/>
      <c r="P140" s="515"/>
      <c r="Q140" s="515"/>
      <c r="R140" s="515"/>
      <c r="S140" s="515"/>
      <c r="T140" s="515"/>
      <c r="U140" s="515"/>
      <c r="V140" s="515"/>
      <c r="W140" s="515"/>
      <c r="X140" s="515"/>
      <c r="Y140" s="626"/>
      <c r="Z140" s="518"/>
      <c r="AA140" s="521"/>
      <c r="AB140" s="518"/>
      <c r="AC140" s="518"/>
      <c r="AD140" s="518"/>
    </row>
    <row r="141" spans="1:30" ht="9" customHeight="1">
      <c r="A141" s="517"/>
      <c r="B141" s="517"/>
      <c r="C141" s="515"/>
      <c r="D141" s="515"/>
      <c r="E141" s="515"/>
      <c r="F141" s="515"/>
      <c r="G141" s="515"/>
      <c r="H141" s="555"/>
      <c r="I141" s="555"/>
      <c r="J141" s="555"/>
      <c r="K141" s="555"/>
      <c r="L141" s="555"/>
      <c r="M141" s="515"/>
      <c r="N141" s="554"/>
      <c r="O141" s="515"/>
      <c r="P141" s="515"/>
      <c r="Q141" s="515"/>
      <c r="R141" s="515"/>
      <c r="S141" s="515"/>
      <c r="T141" s="515"/>
      <c r="U141" s="515"/>
      <c r="V141" s="515"/>
      <c r="W141" s="515"/>
      <c r="X141" s="515"/>
      <c r="Y141" s="626"/>
      <c r="Z141" s="518"/>
      <c r="AA141" s="521"/>
      <c r="AB141" s="518"/>
      <c r="AC141" s="518"/>
      <c r="AD141" s="518"/>
    </row>
    <row r="142" spans="1:30" ht="9" customHeight="1">
      <c r="A142" s="517"/>
      <c r="B142" s="517"/>
      <c r="C142" s="515"/>
      <c r="D142" s="515"/>
      <c r="E142" s="515"/>
      <c r="F142" s="515"/>
      <c r="G142" s="515"/>
      <c r="H142" s="555"/>
      <c r="I142" s="555"/>
      <c r="J142" s="555"/>
      <c r="K142" s="555"/>
      <c r="L142" s="555"/>
      <c r="M142" s="515"/>
      <c r="N142" s="554"/>
      <c r="O142" s="515"/>
      <c r="P142" s="515"/>
      <c r="Q142" s="515"/>
      <c r="R142" s="515"/>
      <c r="S142" s="515"/>
      <c r="T142" s="515"/>
      <c r="U142" s="515"/>
      <c r="V142" s="515"/>
      <c r="W142" s="515"/>
      <c r="X142" s="515"/>
      <c r="Y142" s="626"/>
      <c r="Z142" s="518"/>
      <c r="AA142" s="521"/>
      <c r="AB142" s="518"/>
      <c r="AC142" s="518"/>
      <c r="AD142" s="518"/>
    </row>
    <row r="143" spans="1:30" ht="9" customHeight="1">
      <c r="A143" s="517"/>
      <c r="B143" s="517"/>
      <c r="C143" s="515"/>
      <c r="D143" s="515"/>
      <c r="E143" s="515"/>
      <c r="F143" s="515"/>
      <c r="G143" s="515"/>
      <c r="H143" s="555"/>
      <c r="I143" s="555"/>
      <c r="J143" s="555"/>
      <c r="K143" s="555"/>
      <c r="L143" s="555"/>
      <c r="M143" s="515"/>
      <c r="N143" s="554"/>
      <c r="O143" s="515"/>
      <c r="P143" s="515"/>
      <c r="Q143" s="515"/>
      <c r="R143" s="515"/>
      <c r="S143" s="515"/>
      <c r="T143" s="515"/>
      <c r="U143" s="515"/>
      <c r="V143" s="515"/>
      <c r="W143" s="515"/>
      <c r="X143" s="515"/>
      <c r="Y143" s="626"/>
      <c r="Z143" s="518"/>
      <c r="AA143" s="521"/>
      <c r="AB143" s="518"/>
      <c r="AC143" s="518"/>
      <c r="AD143" s="518"/>
    </row>
    <row r="144" spans="1:30" ht="9" customHeight="1">
      <c r="A144" s="517"/>
      <c r="B144" s="517"/>
      <c r="C144" s="515"/>
      <c r="D144" s="515"/>
      <c r="E144" s="515"/>
      <c r="F144" s="515"/>
      <c r="G144" s="515"/>
      <c r="H144" s="555"/>
      <c r="I144" s="555"/>
      <c r="J144" s="555"/>
      <c r="K144" s="555"/>
      <c r="L144" s="555"/>
      <c r="M144" s="515"/>
      <c r="N144" s="554"/>
      <c r="O144" s="515"/>
      <c r="P144" s="515"/>
      <c r="Q144" s="515"/>
      <c r="R144" s="515"/>
      <c r="S144" s="515"/>
      <c r="T144" s="515"/>
      <c r="U144" s="515"/>
      <c r="V144" s="515"/>
      <c r="W144" s="515"/>
      <c r="X144" s="515"/>
      <c r="Y144" s="626"/>
      <c r="Z144" s="518"/>
      <c r="AA144" s="521"/>
      <c r="AB144" s="518"/>
      <c r="AC144" s="518"/>
      <c r="AD144" s="518"/>
    </row>
    <row r="145" spans="1:30" ht="9" customHeight="1">
      <c r="A145" s="517"/>
      <c r="B145" s="517"/>
      <c r="C145" s="515"/>
      <c r="D145" s="515"/>
      <c r="E145" s="515"/>
      <c r="F145" s="515"/>
      <c r="G145" s="515"/>
      <c r="H145" s="555"/>
      <c r="I145" s="555"/>
      <c r="J145" s="555"/>
      <c r="K145" s="555"/>
      <c r="L145" s="555"/>
      <c r="M145" s="515"/>
      <c r="N145" s="554"/>
      <c r="O145" s="515"/>
      <c r="P145" s="515"/>
      <c r="Q145" s="515"/>
      <c r="R145" s="515"/>
      <c r="S145" s="515"/>
      <c r="T145" s="515"/>
      <c r="U145" s="515"/>
      <c r="V145" s="515"/>
      <c r="W145" s="515"/>
      <c r="X145" s="515"/>
      <c r="Y145" s="626"/>
      <c r="Z145" s="518"/>
      <c r="AA145" s="521"/>
      <c r="AB145" s="518"/>
      <c r="AC145" s="518"/>
      <c r="AD145" s="518"/>
    </row>
    <row r="146" spans="1:30" ht="9" customHeight="1">
      <c r="A146" s="517"/>
      <c r="B146" s="517"/>
      <c r="C146" s="515"/>
      <c r="D146" s="515"/>
      <c r="E146" s="515"/>
      <c r="F146" s="515"/>
      <c r="G146" s="515"/>
      <c r="H146" s="555"/>
      <c r="I146" s="555"/>
      <c r="J146" s="555"/>
      <c r="K146" s="555"/>
      <c r="L146" s="555"/>
      <c r="M146" s="515"/>
      <c r="N146" s="554"/>
      <c r="O146" s="515"/>
      <c r="P146" s="515"/>
      <c r="Q146" s="515"/>
      <c r="R146" s="515"/>
      <c r="S146" s="515"/>
      <c r="T146" s="515"/>
      <c r="U146" s="515"/>
      <c r="V146" s="515"/>
      <c r="W146" s="515"/>
      <c r="X146" s="515"/>
      <c r="Y146" s="626"/>
      <c r="Z146" s="518"/>
      <c r="AA146" s="521"/>
      <c r="AB146" s="518"/>
      <c r="AC146" s="518"/>
      <c r="AD146" s="518"/>
    </row>
    <row r="147" spans="1:30" ht="9" customHeight="1">
      <c r="A147" s="517"/>
      <c r="B147" s="517"/>
      <c r="C147" s="517"/>
      <c r="D147" s="517"/>
      <c r="E147" s="517"/>
      <c r="F147" s="517"/>
      <c r="G147" s="517"/>
      <c r="H147" s="517"/>
      <c r="I147" s="517"/>
      <c r="J147" s="517"/>
      <c r="K147" s="517"/>
      <c r="L147" s="517"/>
      <c r="M147" s="517"/>
      <c r="N147" s="517"/>
      <c r="O147" s="517"/>
      <c r="P147" s="517"/>
      <c r="Q147" s="517"/>
      <c r="R147" s="517"/>
      <c r="S147" s="517"/>
      <c r="T147" s="517"/>
      <c r="U147" s="517"/>
      <c r="V147" s="517"/>
      <c r="W147" s="517"/>
      <c r="X147" s="517"/>
      <c r="Y147" s="517"/>
      <c r="Z147" s="517"/>
      <c r="AA147" s="517"/>
      <c r="AB147" s="517"/>
      <c r="AC147" s="517"/>
      <c r="AD147" s="517"/>
    </row>
    <row r="148" spans="1:30" ht="90" customHeight="1">
      <c r="A148" s="517" t="s">
        <v>718</v>
      </c>
      <c r="B148" s="517"/>
      <c r="C148" s="515" t="s">
        <v>719</v>
      </c>
      <c r="D148" s="515" t="s">
        <v>720</v>
      </c>
      <c r="E148" s="515" t="s">
        <v>721</v>
      </c>
      <c r="F148" s="515" t="s">
        <v>722</v>
      </c>
      <c r="G148" s="515"/>
      <c r="H148" s="515"/>
      <c r="I148" s="592"/>
      <c r="J148" s="592"/>
      <c r="K148" s="592"/>
      <c r="L148" s="592"/>
      <c r="M148" s="557"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520"/>
      <c r="O148" s="515"/>
      <c r="P148" s="516"/>
      <c r="Q148" s="516"/>
      <c r="R148" s="516"/>
      <c r="S148" s="515"/>
      <c r="T148" s="515" t="s">
        <v>723</v>
      </c>
      <c r="U148" s="51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516"/>
      <c r="W148" s="516"/>
      <c r="X148" s="515" t="s">
        <v>724</v>
      </c>
      <c r="Y148" s="626"/>
      <c r="Z148" s="518"/>
      <c r="AA148" s="521"/>
      <c r="AB148" s="518"/>
      <c r="AC148" s="518"/>
      <c r="AD148" s="518"/>
    </row>
    <row r="149" spans="1:30" ht="9" customHeight="1">
      <c r="A149" s="517"/>
      <c r="B149" s="517"/>
      <c r="C149" s="517"/>
      <c r="D149" s="517"/>
      <c r="E149" s="517"/>
      <c r="F149" s="517"/>
      <c r="G149" s="517"/>
      <c r="H149" s="517"/>
      <c r="I149" s="517"/>
      <c r="J149" s="517"/>
      <c r="K149" s="517"/>
      <c r="L149" s="517"/>
      <c r="M149" s="517"/>
      <c r="N149" s="517"/>
      <c r="O149" s="517"/>
      <c r="P149" s="517"/>
      <c r="Q149" s="517"/>
      <c r="R149" s="517"/>
      <c r="S149" s="517"/>
      <c r="T149" s="517"/>
      <c r="U149" s="517"/>
      <c r="V149" s="517"/>
      <c r="W149" s="517"/>
      <c r="X149" s="517"/>
      <c r="Y149" s="517"/>
      <c r="Z149" s="517"/>
      <c r="AA149" s="517"/>
      <c r="AB149" s="517"/>
      <c r="AC149" s="517"/>
      <c r="AD149" s="517"/>
    </row>
    <row r="150" spans="1:30" ht="9" customHeight="1">
      <c r="A150" s="517" t="s">
        <v>725</v>
      </c>
      <c r="B150" s="517"/>
      <c r="C150" s="515"/>
      <c r="D150" s="515"/>
      <c r="E150" s="515"/>
      <c r="F150" s="515"/>
      <c r="G150" s="515"/>
      <c r="H150" s="515"/>
      <c r="I150" s="515"/>
      <c r="J150" s="515"/>
      <c r="K150" s="515"/>
      <c r="L150" s="515"/>
      <c r="M150" s="515"/>
      <c r="N150" s="515"/>
      <c r="O150" s="515"/>
      <c r="P150" s="515"/>
      <c r="Q150" s="515"/>
      <c r="R150" s="515"/>
      <c r="S150" s="515"/>
      <c r="T150" s="515"/>
      <c r="U150" s="515"/>
      <c r="V150" s="515"/>
      <c r="W150" s="515"/>
      <c r="X150" s="515"/>
      <c r="Y150" s="626"/>
      <c r="Z150" s="518"/>
      <c r="AA150" s="521"/>
      <c r="AB150" s="518"/>
      <c r="AC150" s="518"/>
      <c r="AD150" s="518"/>
    </row>
    <row r="151" spans="1:30" ht="9" customHeight="1">
      <c r="A151" s="517"/>
      <c r="B151" s="517"/>
      <c r="C151" s="517"/>
      <c r="D151" s="517"/>
      <c r="E151" s="517"/>
      <c r="F151" s="517"/>
      <c r="G151" s="517"/>
      <c r="H151" s="517"/>
      <c r="I151" s="517"/>
      <c r="J151" s="517"/>
      <c r="K151" s="517"/>
      <c r="L151" s="517"/>
      <c r="M151" s="517"/>
      <c r="N151" s="517"/>
      <c r="O151" s="517"/>
      <c r="P151" s="517"/>
      <c r="Q151" s="517"/>
      <c r="R151" s="517"/>
      <c r="S151" s="517"/>
      <c r="T151" s="517"/>
      <c r="U151" s="517"/>
      <c r="V151" s="517"/>
      <c r="W151" s="517"/>
      <c r="X151" s="517"/>
      <c r="Y151" s="517"/>
      <c r="Z151" s="517"/>
      <c r="AA151" s="517"/>
      <c r="AB151" s="517"/>
      <c r="AC151" s="517"/>
      <c r="AD151" s="517"/>
    </row>
    <row r="152" spans="1:30" ht="9" customHeight="1">
      <c r="A152" s="517" t="s">
        <v>726</v>
      </c>
      <c r="B152" s="517"/>
      <c r="C152" s="515"/>
      <c r="D152" s="515"/>
      <c r="E152" s="515"/>
      <c r="F152" s="515"/>
      <c r="G152" s="515"/>
      <c r="H152" s="515"/>
      <c r="I152" s="515"/>
      <c r="J152" s="515"/>
      <c r="K152" s="515"/>
      <c r="L152" s="515"/>
      <c r="M152" s="515"/>
      <c r="N152" s="515"/>
      <c r="O152" s="515"/>
      <c r="P152" s="515"/>
      <c r="Q152" s="515"/>
      <c r="R152" s="515"/>
      <c r="S152" s="515"/>
      <c r="T152" s="515"/>
      <c r="U152" s="515"/>
      <c r="V152" s="515"/>
      <c r="W152" s="515"/>
      <c r="X152" s="515"/>
      <c r="Y152" s="626"/>
      <c r="Z152" s="518"/>
      <c r="AA152" s="521"/>
      <c r="AB152" s="518"/>
      <c r="AC152" s="518"/>
      <c r="AD152" s="518"/>
    </row>
    <row r="153" spans="1:30" ht="9" customHeight="1">
      <c r="A153" s="517"/>
      <c r="B153" s="517"/>
      <c r="C153" s="517"/>
      <c r="D153" s="517"/>
      <c r="E153" s="517"/>
      <c r="F153" s="517"/>
      <c r="G153" s="517"/>
      <c r="H153" s="517"/>
      <c r="I153" s="517"/>
      <c r="J153" s="517"/>
      <c r="K153" s="517"/>
      <c r="L153" s="517"/>
      <c r="M153" s="517"/>
      <c r="N153" s="517"/>
      <c r="O153" s="517"/>
      <c r="P153" s="517"/>
      <c r="Q153" s="517"/>
      <c r="R153" s="517"/>
      <c r="S153" s="517"/>
      <c r="T153" s="517"/>
      <c r="U153" s="517"/>
      <c r="V153" s="517"/>
      <c r="W153" s="517"/>
      <c r="X153" s="517"/>
      <c r="Y153" s="517"/>
      <c r="Z153" s="517"/>
      <c r="AA153" s="517"/>
      <c r="AB153" s="517"/>
      <c r="AC153" s="517"/>
      <c r="AD153" s="517"/>
    </row>
    <row r="154" spans="1:30" ht="9" customHeight="1">
      <c r="A154" s="517" t="s">
        <v>727</v>
      </c>
      <c r="B154" s="517"/>
      <c r="C154" s="515"/>
      <c r="D154" s="515"/>
      <c r="E154" s="515"/>
      <c r="F154" s="515"/>
      <c r="G154" s="515"/>
      <c r="H154" s="515"/>
      <c r="I154" s="515"/>
      <c r="J154" s="515"/>
      <c r="K154" s="515"/>
      <c r="L154" s="515"/>
      <c r="M154" s="515"/>
      <c r="N154" s="515"/>
      <c r="O154" s="515"/>
      <c r="P154" s="515"/>
      <c r="Q154" s="515"/>
      <c r="R154" s="515"/>
      <c r="S154" s="515"/>
      <c r="T154" s="515"/>
      <c r="U154" s="515"/>
      <c r="V154" s="515"/>
      <c r="W154" s="515"/>
      <c r="X154" s="515"/>
      <c r="Y154" s="626"/>
      <c r="Z154" s="518"/>
      <c r="AA154" s="521"/>
      <c r="AB154" s="518"/>
      <c r="AC154" s="518"/>
      <c r="AD154" s="518"/>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F6572B-11B7-833E-964E-27F22B50B17F}">
  <sheetPr>
    <tabColor rgb="FFFFCC99"/>
  </sheetPr>
  <dimension ref="A1:CD118"/>
  <sheetViews>
    <sheetView showGridLines="0" workbookViewId="0"/>
  </sheetViews>
  <sheetFormatPr defaultColWidth="9.140625" defaultRowHeight="11.25" customHeight="1"/>
  <cols>
    <col min="1" max="1" width="32.5703125" style="227" customWidth="1"/>
    <col min="2" max="2" width="11" customWidth="1"/>
    <col min="4" max="4" width="26.5703125" customWidth="1"/>
    <col min="5" max="5" width="27.7109375" style="43" customWidth="1"/>
    <col min="6" max="6" width="23.5703125" style="43" customWidth="1"/>
    <col min="7" max="7" width="31.42578125" style="43" customWidth="1"/>
    <col min="8" max="8" width="40.85546875" style="43" customWidth="1"/>
    <col min="9" max="9" width="14.5703125" style="43" customWidth="1"/>
    <col min="10" max="10" width="26.85546875" style="43" customWidth="1"/>
    <col min="11" max="11" width="50" style="43" customWidth="1"/>
    <col min="12" max="13" width="10.7109375" style="43" customWidth="1"/>
    <col min="14" max="14" width="55.140625" style="43" customWidth="1"/>
    <col min="15" max="15" width="31.85546875" style="43" customWidth="1"/>
    <col min="16" max="16" width="23.85546875" style="43" customWidth="1"/>
    <col min="17" max="17" width="46.5703125" style="43" customWidth="1"/>
    <col min="18" max="18" width="24" style="43" customWidth="1"/>
    <col min="19" max="19" width="20.5703125" style="43" customWidth="1"/>
    <col min="20" max="20" width="22" style="43" customWidth="1"/>
    <col min="21" max="22" width="26.42578125" style="43" customWidth="1"/>
    <col min="23" max="23" width="8.28515625" style="43" hidden="1" customWidth="1"/>
    <col min="24" max="24" width="59.7109375" style="43" customWidth="1"/>
    <col min="25" max="25" width="49.140625" style="43" customWidth="1"/>
    <col min="26" max="26" width="11.140625" style="43" customWidth="1"/>
    <col min="27" max="30" width="29" style="43" customWidth="1"/>
    <col min="31" max="31" width="9.140625" style="43"/>
    <col min="32" max="32" width="34.7109375" style="43" customWidth="1"/>
    <col min="33" max="33" width="9.140625" style="43"/>
    <col min="34" max="35" width="34.42578125" style="43" customWidth="1"/>
    <col min="36" max="36" width="9.140625" style="43"/>
    <col min="37" max="37" width="24.5703125" style="43" customWidth="1"/>
    <col min="38" max="38" width="9.140625" style="43"/>
    <col min="39" max="39" width="26.140625" style="43" customWidth="1"/>
    <col min="40" max="40" width="1.7109375" style="43" customWidth="1"/>
    <col min="41" max="41" width="9.140625" style="43"/>
    <col min="42" max="43" width="47.85546875" style="43" customWidth="1"/>
    <col min="44" max="44" width="1.7109375" style="43" customWidth="1"/>
    <col min="45" max="45" width="21.42578125" style="43" customWidth="1"/>
    <col min="46" max="46" width="1.7109375" style="43" customWidth="1"/>
    <col min="47" max="47" width="31.28515625" style="43" customWidth="1"/>
    <col min="48" max="48" width="1.7109375" style="43" customWidth="1"/>
    <col min="49" max="50" width="9.140625" style="43"/>
    <col min="51" max="51" width="3.7109375" style="43" customWidth="1"/>
    <col min="52" max="52" width="55" style="43" customWidth="1"/>
    <col min="53" max="53" width="9.140625" style="43"/>
    <col min="54" max="54" width="35.140625" style="43" customWidth="1"/>
    <col min="55" max="55" width="9.140625" style="43"/>
    <col min="56" max="56" width="1.7109375" style="43" customWidth="1"/>
    <col min="57" max="57" width="12.5703125" style="670" customWidth="1"/>
    <col min="58" max="58" width="14.28515625" style="670" customWidth="1"/>
    <col min="59" max="59" width="30.7109375" style="43" customWidth="1"/>
    <col min="60" max="60" width="40.7109375" style="78" customWidth="1"/>
    <col min="61" max="61" width="15" style="78" customWidth="1"/>
    <col min="62" max="62" width="40.7109375" style="78" customWidth="1"/>
    <col min="63" max="63" width="2.7109375" style="78" customWidth="1"/>
    <col min="64" max="64" width="44.7109375" style="78" customWidth="1"/>
    <col min="65" max="65" width="2.7109375" style="78" customWidth="1"/>
    <col min="66" max="66" width="40.7109375" style="78" customWidth="1"/>
    <col min="67" max="68" width="9.140625" style="43"/>
    <col min="69" max="69" width="18.140625" style="43" customWidth="1"/>
    <col min="70" max="70" width="57.85546875" style="43" customWidth="1"/>
    <col min="71" max="71" width="1.7109375" style="43" customWidth="1"/>
    <col min="72" max="72" width="22.5703125" style="43" customWidth="1"/>
    <col min="73" max="73" width="57.85546875" style="43" customWidth="1"/>
    <col min="74" max="74" width="1.7109375" style="43" customWidth="1"/>
    <col min="75" max="75" width="22.5703125" style="43" customWidth="1"/>
    <col min="76" max="76" width="57.85546875" style="43" customWidth="1"/>
    <col min="77" max="77" width="1.7109375" style="43" customWidth="1"/>
    <col min="78" max="78" width="22.5703125" style="43" customWidth="1"/>
    <col min="79" max="79" width="57.85546875" style="43" customWidth="1"/>
    <col min="80" max="81" width="9.140625" style="43"/>
    <col min="82" max="82" width="49.5703125" style="43" customWidth="1"/>
  </cols>
  <sheetData>
    <row r="1" spans="1:79" s="63" customFormat="1" ht="11.25" customHeight="1">
      <c r="A1" s="671" t="s">
        <v>728</v>
      </c>
      <c r="B1" s="671" t="s">
        <v>729</v>
      </c>
      <c r="C1" s="671" t="s">
        <v>730</v>
      </c>
      <c r="D1" s="671" t="s">
        <v>731</v>
      </c>
      <c r="E1" s="671" t="s">
        <v>732</v>
      </c>
      <c r="F1" s="671" t="s">
        <v>733</v>
      </c>
      <c r="G1" s="671" t="s">
        <v>734</v>
      </c>
      <c r="H1" s="671" t="s">
        <v>735</v>
      </c>
      <c r="I1" s="671" t="s">
        <v>736</v>
      </c>
      <c r="J1" s="671" t="s">
        <v>737</v>
      </c>
      <c r="K1" s="671" t="s">
        <v>738</v>
      </c>
      <c r="L1" s="671"/>
      <c r="M1" s="671"/>
      <c r="N1" s="671" t="s">
        <v>739</v>
      </c>
      <c r="O1" s="671" t="s">
        <v>740</v>
      </c>
      <c r="P1" s="671" t="s">
        <v>741</v>
      </c>
      <c r="Q1" s="671" t="s">
        <v>742</v>
      </c>
      <c r="R1" s="671" t="s">
        <v>743</v>
      </c>
      <c r="S1" s="671" t="s">
        <v>744</v>
      </c>
      <c r="T1" s="671" t="s">
        <v>745</v>
      </c>
      <c r="U1" s="671" t="s">
        <v>746</v>
      </c>
      <c r="V1" s="671"/>
      <c r="W1" s="493" t="s">
        <v>747</v>
      </c>
      <c r="X1" s="671" t="s">
        <v>748</v>
      </c>
      <c r="Y1" s="671" t="s">
        <v>749</v>
      </c>
      <c r="Z1" s="671"/>
      <c r="AA1" s="671" t="s">
        <v>750</v>
      </c>
      <c r="AB1" s="671"/>
      <c r="AC1" s="671" t="s">
        <v>751</v>
      </c>
      <c r="AD1" s="671"/>
      <c r="AF1" s="671" t="s">
        <v>752</v>
      </c>
      <c r="AH1" s="671" t="s">
        <v>753</v>
      </c>
      <c r="AI1" s="671" t="s">
        <v>754</v>
      </c>
      <c r="AK1" s="671" t="s">
        <v>755</v>
      </c>
      <c r="AM1" s="671" t="s">
        <v>756</v>
      </c>
      <c r="AP1" s="671" t="s">
        <v>757</v>
      </c>
      <c r="AQ1" s="671" t="s">
        <v>758</v>
      </c>
      <c r="AS1" s="671" t="s">
        <v>759</v>
      </c>
      <c r="AU1" s="671" t="s">
        <v>760</v>
      </c>
      <c r="AW1" s="671" t="s">
        <v>761</v>
      </c>
      <c r="AX1" s="671" t="s">
        <v>762</v>
      </c>
      <c r="AZ1" s="712" t="s">
        <v>763</v>
      </c>
      <c r="BB1" s="671" t="s">
        <v>764</v>
      </c>
      <c r="BC1" s="671"/>
      <c r="BE1" s="671" t="s">
        <v>765</v>
      </c>
      <c r="BF1" s="671" t="s">
        <v>766</v>
      </c>
      <c r="BH1" s="673" t="s">
        <v>392</v>
      </c>
      <c r="BI1" s="78"/>
      <c r="BJ1" s="674" t="s">
        <v>767</v>
      </c>
      <c r="BK1" s="78"/>
      <c r="BL1" s="675" t="s">
        <v>394</v>
      </c>
      <c r="BM1" s="78"/>
      <c r="BN1" s="676" t="s">
        <v>768</v>
      </c>
    </row>
    <row r="2" spans="1:79" ht="11.25" customHeight="1">
      <c r="A2" s="43" t="s">
        <v>769</v>
      </c>
      <c r="B2" s="677">
        <v>2000</v>
      </c>
      <c r="C2" s="677">
        <v>2022</v>
      </c>
      <c r="D2" s="677" t="s">
        <v>67</v>
      </c>
      <c r="E2" s="678" t="s">
        <v>770</v>
      </c>
      <c r="F2" s="678" t="s">
        <v>771</v>
      </c>
      <c r="G2" s="678" t="s">
        <v>772</v>
      </c>
      <c r="H2" s="678" t="s">
        <v>55</v>
      </c>
      <c r="I2" s="678" t="s">
        <v>109</v>
      </c>
      <c r="J2" s="678" t="s">
        <v>773</v>
      </c>
      <c r="K2" s="183" t="s">
        <v>774</v>
      </c>
      <c r="L2" s="183" t="s">
        <v>774</v>
      </c>
      <c r="M2" s="183">
        <v>1</v>
      </c>
      <c r="N2" s="714" t="s">
        <v>775</v>
      </c>
      <c r="O2" s="678" t="s">
        <v>776</v>
      </c>
      <c r="P2" s="679" t="s">
        <v>33</v>
      </c>
      <c r="Q2" s="680" t="s">
        <v>777</v>
      </c>
      <c r="R2" s="70" t="s">
        <v>778</v>
      </c>
      <c r="S2" s="70" t="s">
        <v>779</v>
      </c>
      <c r="T2" s="681" t="s">
        <v>780</v>
      </c>
      <c r="U2" s="183" t="s">
        <v>781</v>
      </c>
      <c r="V2" s="682">
        <v>1</v>
      </c>
      <c r="W2" s="683"/>
      <c r="X2" s="683" t="s">
        <v>782</v>
      </c>
      <c r="Y2" s="677" t="s">
        <v>783</v>
      </c>
      <c r="Z2" s="684"/>
      <c r="AA2" s="677" t="s">
        <v>784</v>
      </c>
      <c r="AB2" s="685" t="s">
        <v>784</v>
      </c>
      <c r="AC2" s="677" t="s">
        <v>785</v>
      </c>
      <c r="AD2" s="685" t="s">
        <v>785</v>
      </c>
      <c r="AF2" s="678" t="s">
        <v>781</v>
      </c>
      <c r="AH2" s="678" t="s">
        <v>786</v>
      </c>
      <c r="AI2" s="678" t="s">
        <v>786</v>
      </c>
      <c r="AK2" s="678" t="s">
        <v>787</v>
      </c>
      <c r="AM2" s="678" t="s">
        <v>788</v>
      </c>
      <c r="AP2" s="40" t="s">
        <v>782</v>
      </c>
      <c r="AQ2" s="686" t="s">
        <v>782</v>
      </c>
      <c r="AS2" s="677" t="s">
        <v>789</v>
      </c>
      <c r="AU2" s="706" t="s">
        <v>790</v>
      </c>
      <c r="AW2" s="706" t="s">
        <v>791</v>
      </c>
      <c r="AX2" s="706" t="s">
        <v>791</v>
      </c>
      <c r="AZ2" s="706" t="s">
        <v>53</v>
      </c>
      <c r="BB2" s="706" t="s">
        <v>792</v>
      </c>
      <c r="BC2" s="706" t="s">
        <v>793</v>
      </c>
      <c r="BE2" s="706">
        <v>2000</v>
      </c>
      <c r="BF2" s="706" t="s">
        <v>794</v>
      </c>
    </row>
    <row r="3" spans="1:79" ht="11.25" customHeight="1">
      <c r="A3" s="43" t="s">
        <v>795</v>
      </c>
      <c r="B3" s="677">
        <v>2001</v>
      </c>
      <c r="C3" s="677">
        <v>2023</v>
      </c>
      <c r="D3" s="677" t="s">
        <v>57</v>
      </c>
      <c r="E3" s="678" t="s">
        <v>796</v>
      </c>
      <c r="F3" s="678" t="s">
        <v>797</v>
      </c>
      <c r="G3" s="678" t="s">
        <v>798</v>
      </c>
      <c r="H3" s="678" t="s">
        <v>799</v>
      </c>
      <c r="I3" s="678" t="s">
        <v>110</v>
      </c>
      <c r="J3" s="678" t="s">
        <v>800</v>
      </c>
      <c r="K3" s="183" t="s">
        <v>801</v>
      </c>
      <c r="L3" s="183" t="s">
        <v>801</v>
      </c>
      <c r="M3" s="183">
        <v>2</v>
      </c>
      <c r="N3" s="714" t="s">
        <v>802</v>
      </c>
      <c r="O3" s="678" t="s">
        <v>803</v>
      </c>
      <c r="P3" s="679" t="s">
        <v>804</v>
      </c>
      <c r="Q3" s="680" t="s">
        <v>805</v>
      </c>
      <c r="R3" s="70" t="s">
        <v>806</v>
      </c>
      <c r="S3" s="70" t="s">
        <v>807</v>
      </c>
      <c r="T3" s="681" t="s">
        <v>808</v>
      </c>
      <c r="U3" s="183" t="s">
        <v>809</v>
      </c>
      <c r="V3" s="682">
        <v>2</v>
      </c>
      <c r="W3" s="683"/>
      <c r="X3" s="683" t="s">
        <v>810</v>
      </c>
      <c r="Y3" s="677" t="s">
        <v>783</v>
      </c>
      <c r="Z3" s="684"/>
      <c r="AA3" s="677" t="s">
        <v>811</v>
      </c>
      <c r="AB3" s="685" t="s">
        <v>811</v>
      </c>
      <c r="AC3" s="677" t="s">
        <v>812</v>
      </c>
      <c r="AD3" s="685" t="s">
        <v>812</v>
      </c>
      <c r="AF3" s="678" t="s">
        <v>809</v>
      </c>
      <c r="AH3" s="678" t="s">
        <v>813</v>
      </c>
      <c r="AI3" s="678" t="s">
        <v>814</v>
      </c>
      <c r="AK3" s="678" t="s">
        <v>815</v>
      </c>
      <c r="AM3" s="678" t="s">
        <v>816</v>
      </c>
      <c r="AP3" s="40" t="s">
        <v>817</v>
      </c>
      <c r="AQ3" s="686" t="s">
        <v>817</v>
      </c>
      <c r="AS3" s="677" t="s">
        <v>818</v>
      </c>
      <c r="AU3" s="706" t="s">
        <v>819</v>
      </c>
      <c r="AW3" s="706" t="s">
        <v>820</v>
      </c>
      <c r="AX3" s="706" t="s">
        <v>820</v>
      </c>
      <c r="AZ3" s="706" t="s">
        <v>821</v>
      </c>
      <c r="BB3" s="706" t="s">
        <v>822</v>
      </c>
      <c r="BC3" s="706" t="s">
        <v>793</v>
      </c>
      <c r="BE3" s="706">
        <v>2001</v>
      </c>
      <c r="BF3" s="706" t="s">
        <v>823</v>
      </c>
      <c r="BH3" s="671" t="s">
        <v>824</v>
      </c>
      <c r="BJ3" s="671" t="s">
        <v>825</v>
      </c>
      <c r="BL3" s="671" t="s">
        <v>826</v>
      </c>
      <c r="BN3" s="671" t="s">
        <v>827</v>
      </c>
      <c r="BR3" s="671" t="s">
        <v>828</v>
      </c>
      <c r="BS3" s="846"/>
      <c r="BT3" s="78"/>
      <c r="BU3" s="671" t="s">
        <v>829</v>
      </c>
      <c r="BV3" s="78"/>
      <c r="BW3"/>
      <c r="BX3" s="671" t="s">
        <v>830</v>
      </c>
      <c r="CA3" s="671" t="s">
        <v>831</v>
      </c>
    </row>
    <row r="4" spans="1:79" ht="11.25" customHeight="1">
      <c r="A4" s="43" t="s">
        <v>832</v>
      </c>
      <c r="B4" s="677">
        <v>2002</v>
      </c>
      <c r="C4" s="677">
        <v>2024</v>
      </c>
      <c r="E4" s="678" t="s">
        <v>833</v>
      </c>
      <c r="F4" s="678" t="s">
        <v>834</v>
      </c>
      <c r="H4" s="678" t="s">
        <v>835</v>
      </c>
      <c r="I4" s="678" t="s">
        <v>90</v>
      </c>
      <c r="J4" s="678" t="s">
        <v>836</v>
      </c>
      <c r="K4" s="183" t="s">
        <v>837</v>
      </c>
      <c r="L4" s="183" t="s">
        <v>837</v>
      </c>
      <c r="M4" s="183">
        <v>3</v>
      </c>
      <c r="N4" s="714" t="s">
        <v>838</v>
      </c>
      <c r="O4" s="678" t="s">
        <v>839</v>
      </c>
      <c r="Q4" s="680" t="s">
        <v>840</v>
      </c>
      <c r="R4" s="70" t="s">
        <v>841</v>
      </c>
      <c r="S4" s="70" t="s">
        <v>842</v>
      </c>
      <c r="T4" s="681" t="s">
        <v>843</v>
      </c>
      <c r="U4" s="183" t="s">
        <v>844</v>
      </c>
      <c r="V4" s="682">
        <v>3</v>
      </c>
      <c r="W4" s="683"/>
      <c r="X4" s="683" t="s">
        <v>845</v>
      </c>
      <c r="Y4" s="677" t="s">
        <v>783</v>
      </c>
      <c r="Z4" s="369"/>
      <c r="AC4" s="677" t="s">
        <v>846</v>
      </c>
      <c r="AD4" s="685" t="s">
        <v>846</v>
      </c>
      <c r="AF4" s="678" t="s">
        <v>844</v>
      </c>
      <c r="AH4" s="678" t="s">
        <v>847</v>
      </c>
      <c r="AK4" s="678" t="s">
        <v>848</v>
      </c>
      <c r="AM4" s="678" t="s">
        <v>849</v>
      </c>
      <c r="AP4" s="40" t="s">
        <v>810</v>
      </c>
      <c r="AQ4" s="686" t="s">
        <v>810</v>
      </c>
      <c r="AS4" s="677" t="s">
        <v>850</v>
      </c>
      <c r="AU4" s="706" t="s">
        <v>851</v>
      </c>
      <c r="AW4" s="706" t="s">
        <v>852</v>
      </c>
      <c r="AX4" s="706" t="s">
        <v>852</v>
      </c>
      <c r="AZ4" s="706" t="s">
        <v>853</v>
      </c>
      <c r="BB4" s="706" t="s">
        <v>854</v>
      </c>
      <c r="BC4" s="706" t="s">
        <v>855</v>
      </c>
      <c r="BE4" s="706">
        <v>2002</v>
      </c>
      <c r="BF4" s="706" t="s">
        <v>856</v>
      </c>
      <c r="BH4" s="672" t="s">
        <v>857</v>
      </c>
      <c r="BJ4" s="672" t="s">
        <v>857</v>
      </c>
      <c r="BL4" s="672" t="s">
        <v>857</v>
      </c>
      <c r="BN4" s="672" t="s">
        <v>857</v>
      </c>
      <c r="BQ4" s="848" t="s">
        <v>858</v>
      </c>
      <c r="BR4" s="40" t="s">
        <v>859</v>
      </c>
      <c r="BS4" s="40"/>
      <c r="BT4" s="848" t="s">
        <v>860</v>
      </c>
      <c r="BU4" s="40" t="s">
        <v>861</v>
      </c>
      <c r="BV4" s="78"/>
      <c r="BW4" s="848" t="s">
        <v>862</v>
      </c>
      <c r="BX4" s="40" t="s">
        <v>863</v>
      </c>
      <c r="BZ4" s="848" t="s">
        <v>864</v>
      </c>
      <c r="CA4" s="40" t="s">
        <v>865</v>
      </c>
    </row>
    <row r="5" spans="1:79" ht="11.25" customHeight="1">
      <c r="A5" s="43" t="s">
        <v>866</v>
      </c>
      <c r="B5" s="677">
        <v>2003</v>
      </c>
      <c r="C5" s="677">
        <v>2025</v>
      </c>
      <c r="E5" s="678" t="s">
        <v>867</v>
      </c>
      <c r="F5" s="678" t="s">
        <v>30</v>
      </c>
      <c r="H5" s="678" t="s">
        <v>868</v>
      </c>
      <c r="I5" s="678" t="s">
        <v>91</v>
      </c>
      <c r="K5" s="183" t="s">
        <v>869</v>
      </c>
      <c r="L5" s="183" t="s">
        <v>869</v>
      </c>
      <c r="M5" s="183">
        <v>4</v>
      </c>
      <c r="N5" s="688" t="s">
        <v>870</v>
      </c>
      <c r="O5" s="678" t="s">
        <v>871</v>
      </c>
      <c r="Q5" s="680" t="s">
        <v>872</v>
      </c>
      <c r="R5" s="70" t="s">
        <v>873</v>
      </c>
      <c r="T5" s="678" t="s">
        <v>874</v>
      </c>
      <c r="U5" s="183" t="s">
        <v>875</v>
      </c>
      <c r="V5" s="682">
        <v>4</v>
      </c>
      <c r="W5" s="683"/>
      <c r="X5" s="683" t="s">
        <v>169</v>
      </c>
      <c r="Y5" s="677" t="s">
        <v>876</v>
      </c>
      <c r="Z5" s="369">
        <v>1</v>
      </c>
      <c r="AF5" s="678" t="s">
        <v>877</v>
      </c>
      <c r="AH5" s="678" t="s">
        <v>878</v>
      </c>
      <c r="AK5" s="678" t="s">
        <v>879</v>
      </c>
      <c r="AM5" s="678" t="s">
        <v>880</v>
      </c>
      <c r="AP5" s="40" t="s">
        <v>169</v>
      </c>
      <c r="AQ5" s="686" t="s">
        <v>169</v>
      </c>
      <c r="AU5" s="706" t="s">
        <v>881</v>
      </c>
      <c r="AW5" s="706" t="s">
        <v>882</v>
      </c>
      <c r="AX5" s="706" t="s">
        <v>882</v>
      </c>
      <c r="AZ5" s="706" t="s">
        <v>883</v>
      </c>
      <c r="BB5" s="706" t="s">
        <v>884</v>
      </c>
      <c r="BC5" s="706" t="s">
        <v>885</v>
      </c>
      <c r="BE5" s="706">
        <v>2003</v>
      </c>
      <c r="BF5" s="706" t="s">
        <v>886</v>
      </c>
      <c r="BH5" s="672" t="s">
        <v>887</v>
      </c>
      <c r="BJ5" s="672" t="s">
        <v>887</v>
      </c>
      <c r="BL5" s="672" t="s">
        <v>887</v>
      </c>
      <c r="BN5" s="672" t="s">
        <v>888</v>
      </c>
      <c r="BQ5" s="706">
        <v>4213775</v>
      </c>
      <c r="BR5" s="672" t="s">
        <v>782</v>
      </c>
      <c r="BS5" s="794"/>
      <c r="BT5" s="706">
        <v>64236871</v>
      </c>
      <c r="BU5" s="672" t="s">
        <v>221</v>
      </c>
      <c r="BV5" s="78"/>
      <c r="BW5" s="706">
        <v>4213767</v>
      </c>
      <c r="BX5" s="672" t="s">
        <v>889</v>
      </c>
      <c r="BZ5" s="706">
        <v>64237509</v>
      </c>
      <c r="CA5" s="799" t="s">
        <v>890</v>
      </c>
    </row>
    <row r="6" spans="1:79" ht="11.25" customHeight="1">
      <c r="A6" s="43" t="s">
        <v>891</v>
      </c>
      <c r="B6" s="677">
        <v>2004</v>
      </c>
      <c r="C6" s="677">
        <v>2026</v>
      </c>
      <c r="E6" s="678" t="s">
        <v>892</v>
      </c>
      <c r="F6" s="44"/>
      <c r="H6" s="678" t="s">
        <v>893</v>
      </c>
      <c r="I6" s="678" t="s">
        <v>111</v>
      </c>
      <c r="J6" s="671" t="s">
        <v>894</v>
      </c>
      <c r="N6" s="688" t="s">
        <v>895</v>
      </c>
      <c r="O6" s="678" t="s">
        <v>896</v>
      </c>
      <c r="R6" s="70" t="s">
        <v>777</v>
      </c>
      <c r="T6" s="678" t="s">
        <v>897</v>
      </c>
      <c r="U6" s="183" t="s">
        <v>877</v>
      </c>
      <c r="V6" s="682">
        <v>5</v>
      </c>
      <c r="W6" s="683"/>
      <c r="X6" s="677" t="s">
        <v>175</v>
      </c>
      <c r="Y6" s="677" t="s">
        <v>898</v>
      </c>
      <c r="Z6" s="369"/>
      <c r="AA6" s="209"/>
      <c r="AH6" s="678" t="s">
        <v>899</v>
      </c>
      <c r="AK6" s="678" t="s">
        <v>900</v>
      </c>
      <c r="AM6" s="678" t="s">
        <v>901</v>
      </c>
      <c r="AP6" s="40" t="s">
        <v>175</v>
      </c>
      <c r="AQ6" s="686" t="s">
        <v>175</v>
      </c>
      <c r="AU6" s="706" t="s">
        <v>902</v>
      </c>
      <c r="AW6" s="706" t="s">
        <v>903</v>
      </c>
      <c r="AX6" s="706" t="s">
        <v>903</v>
      </c>
      <c r="BB6" s="706" t="s">
        <v>904</v>
      </c>
      <c r="BC6" s="706" t="s">
        <v>885</v>
      </c>
      <c r="BE6" s="706">
        <v>2004</v>
      </c>
      <c r="BF6" s="706" t="s">
        <v>905</v>
      </c>
      <c r="BH6" s="672" t="s">
        <v>906</v>
      </c>
      <c r="BJ6" s="672" t="s">
        <v>907</v>
      </c>
      <c r="BL6" s="672" t="s">
        <v>907</v>
      </c>
      <c r="BN6" s="672" t="s">
        <v>908</v>
      </c>
      <c r="BQ6" s="706">
        <v>4213784</v>
      </c>
      <c r="BR6" s="799" t="s">
        <v>817</v>
      </c>
      <c r="BS6" s="847"/>
      <c r="BT6" s="706">
        <v>64236872</v>
      </c>
      <c r="BU6" s="672" t="s">
        <v>226</v>
      </c>
      <c r="BV6" s="78"/>
      <c r="BW6" s="706">
        <v>4213768</v>
      </c>
      <c r="BX6" s="672" t="s">
        <v>246</v>
      </c>
      <c r="BZ6" s="706">
        <v>64237510</v>
      </c>
      <c r="CA6" s="672" t="s">
        <v>909</v>
      </c>
    </row>
    <row r="7" spans="1:79" ht="11.25" customHeight="1">
      <c r="A7" s="43" t="s">
        <v>910</v>
      </c>
      <c r="B7" s="677">
        <v>2005</v>
      </c>
      <c r="E7" s="678" t="s">
        <v>911</v>
      </c>
      <c r="F7" s="44"/>
      <c r="H7" s="678" t="s">
        <v>912</v>
      </c>
      <c r="I7" s="678" t="s">
        <v>92</v>
      </c>
      <c r="J7" s="678" t="s">
        <v>913</v>
      </c>
      <c r="N7" s="468" t="s">
        <v>914</v>
      </c>
      <c r="O7" s="678" t="s">
        <v>915</v>
      </c>
      <c r="U7" s="183" t="s">
        <v>57</v>
      </c>
      <c r="V7" s="229" t="s">
        <v>92</v>
      </c>
      <c r="W7" s="683"/>
      <c r="X7" s="677" t="s">
        <v>181</v>
      </c>
      <c r="Y7" s="677" t="s">
        <v>876</v>
      </c>
      <c r="Z7" s="369"/>
      <c r="AA7" s="209"/>
      <c r="AH7" s="678" t="s">
        <v>916</v>
      </c>
      <c r="AK7" s="678" t="s">
        <v>917</v>
      </c>
      <c r="AM7" s="678" t="s">
        <v>918</v>
      </c>
      <c r="AP7" s="40" t="s">
        <v>181</v>
      </c>
      <c r="AQ7" s="686" t="s">
        <v>181</v>
      </c>
      <c r="AU7" s="706" t="s">
        <v>919</v>
      </c>
      <c r="AW7" s="706" t="s">
        <v>920</v>
      </c>
      <c r="AX7" s="706" t="s">
        <v>920</v>
      </c>
      <c r="AZ7" s="671" t="s">
        <v>921</v>
      </c>
      <c r="BB7" s="706" t="s">
        <v>922</v>
      </c>
      <c r="BC7" s="706" t="s">
        <v>885</v>
      </c>
      <c r="BE7" s="706">
        <v>2005</v>
      </c>
      <c r="BF7" s="706" t="s">
        <v>923</v>
      </c>
      <c r="BH7" s="672" t="s">
        <v>924</v>
      </c>
      <c r="BJ7" s="672" t="s">
        <v>906</v>
      </c>
      <c r="BL7" s="672" t="s">
        <v>906</v>
      </c>
      <c r="BN7" s="672" t="s">
        <v>925</v>
      </c>
      <c r="BQ7" s="706">
        <v>4213781</v>
      </c>
      <c r="BR7" s="672" t="s">
        <v>810</v>
      </c>
      <c r="BS7" s="794"/>
      <c r="BT7" s="706">
        <v>64236873</v>
      </c>
      <c r="BU7" s="672" t="s">
        <v>231</v>
      </c>
      <c r="BV7" s="78"/>
      <c r="BW7" s="706">
        <v>4213769</v>
      </c>
      <c r="BX7" s="672" t="s">
        <v>926</v>
      </c>
      <c r="BZ7" s="706">
        <v>64237511</v>
      </c>
      <c r="CA7" s="672" t="s">
        <v>261</v>
      </c>
    </row>
    <row r="8" spans="1:79" ht="11.25" customHeight="1">
      <c r="A8" s="43" t="s">
        <v>927</v>
      </c>
      <c r="B8" s="677">
        <v>2006</v>
      </c>
      <c r="E8" s="678" t="s">
        <v>928</v>
      </c>
      <c r="F8" s="44"/>
      <c r="I8" s="678" t="s">
        <v>93</v>
      </c>
      <c r="J8" s="678" t="s">
        <v>929</v>
      </c>
      <c r="N8" s="715" t="s">
        <v>930</v>
      </c>
      <c r="O8" s="678" t="s">
        <v>931</v>
      </c>
      <c r="V8" s="229" t="s">
        <v>93</v>
      </c>
      <c r="W8" s="683"/>
      <c r="X8" s="677" t="s">
        <v>187</v>
      </c>
      <c r="Y8" s="677" t="s">
        <v>876</v>
      </c>
      <c r="Z8" s="369"/>
      <c r="AA8" s="209"/>
      <c r="AK8" s="678" t="s">
        <v>932</v>
      </c>
      <c r="AP8" s="40" t="s">
        <v>187</v>
      </c>
      <c r="AQ8" s="686" t="s">
        <v>187</v>
      </c>
      <c r="AU8" s="706" t="s">
        <v>933</v>
      </c>
      <c r="AW8" s="706" t="s">
        <v>934</v>
      </c>
      <c r="AX8" s="706" t="s">
        <v>934</v>
      </c>
      <c r="AZ8" s="706" t="s">
        <v>935</v>
      </c>
      <c r="BB8" s="706" t="s">
        <v>936</v>
      </c>
      <c r="BC8" s="706" t="s">
        <v>885</v>
      </c>
      <c r="BE8" s="706">
        <v>2006</v>
      </c>
      <c r="BF8" s="706" t="s">
        <v>937</v>
      </c>
      <c r="BH8" s="672" t="s">
        <v>938</v>
      </c>
      <c r="BJ8" s="672" t="s">
        <v>939</v>
      </c>
      <c r="BL8" s="672" t="s">
        <v>939</v>
      </c>
      <c r="BN8" s="672" t="s">
        <v>940</v>
      </c>
      <c r="BQ8" s="706">
        <v>4213776</v>
      </c>
      <c r="BR8" s="672" t="s">
        <v>169</v>
      </c>
      <c r="BS8" s="794"/>
      <c r="BT8" s="706">
        <v>64236874</v>
      </c>
      <c r="BU8" s="799" t="s">
        <v>941</v>
      </c>
      <c r="BV8" s="78"/>
      <c r="BW8" s="706">
        <v>4213770</v>
      </c>
      <c r="BX8" s="799" t="s">
        <v>942</v>
      </c>
      <c r="BZ8" s="706">
        <v>64237512</v>
      </c>
      <c r="CA8" s="672" t="s">
        <v>256</v>
      </c>
    </row>
    <row r="9" spans="1:79" ht="11.25" customHeight="1">
      <c r="A9" s="43" t="s">
        <v>943</v>
      </c>
      <c r="B9" s="677">
        <v>2007</v>
      </c>
      <c r="E9" s="678" t="s">
        <v>944</v>
      </c>
      <c r="F9" s="44"/>
      <c r="G9" s="671" t="s">
        <v>945</v>
      </c>
      <c r="H9" s="671" t="s">
        <v>946</v>
      </c>
      <c r="I9" s="678" t="s">
        <v>112</v>
      </c>
      <c r="O9" s="678" t="s">
        <v>947</v>
      </c>
      <c r="V9" s="229" t="s">
        <v>112</v>
      </c>
      <c r="W9" s="683"/>
      <c r="X9" s="677" t="s">
        <v>196</v>
      </c>
      <c r="Y9" s="677" t="s">
        <v>783</v>
      </c>
      <c r="Z9" s="369">
        <v>1</v>
      </c>
      <c r="AA9" s="209"/>
      <c r="AK9" s="678" t="s">
        <v>948</v>
      </c>
      <c r="AP9" s="40" t="s">
        <v>949</v>
      </c>
      <c r="AQ9" s="686" t="s">
        <v>949</v>
      </c>
      <c r="AW9" s="706" t="s">
        <v>950</v>
      </c>
      <c r="AX9" s="706" t="s">
        <v>950</v>
      </c>
      <c r="AZ9" s="706" t="s">
        <v>951</v>
      </c>
      <c r="BB9" s="706" t="s">
        <v>952</v>
      </c>
      <c r="BC9" s="706" t="s">
        <v>885</v>
      </c>
      <c r="BE9" s="706">
        <v>2007</v>
      </c>
      <c r="BF9" s="706" t="s">
        <v>953</v>
      </c>
      <c r="BH9" s="672" t="s">
        <v>954</v>
      </c>
      <c r="BJ9" s="672" t="s">
        <v>955</v>
      </c>
      <c r="BL9" s="672" t="s">
        <v>955</v>
      </c>
      <c r="BN9" s="672" t="s">
        <v>956</v>
      </c>
      <c r="BQ9" s="706">
        <v>4213777</v>
      </c>
      <c r="BR9" s="672" t="s">
        <v>175</v>
      </c>
      <c r="BS9" s="794"/>
      <c r="BT9" s="706">
        <v>64236875</v>
      </c>
      <c r="BU9" s="672" t="s">
        <v>236</v>
      </c>
      <c r="BV9" s="78"/>
      <c r="BW9"/>
      <c r="BX9"/>
    </row>
    <row r="10" spans="1:79" ht="11.25" customHeight="1">
      <c r="A10" s="43" t="s">
        <v>957</v>
      </c>
      <c r="B10" s="677">
        <v>2008</v>
      </c>
      <c r="E10" s="678" t="s">
        <v>958</v>
      </c>
      <c r="F10" s="44"/>
      <c r="G10" s="678" t="s">
        <v>959</v>
      </c>
      <c r="H10" s="678" t="s">
        <v>960</v>
      </c>
      <c r="I10" s="678" t="s">
        <v>149</v>
      </c>
      <c r="J10" s="671" t="s">
        <v>961</v>
      </c>
      <c r="K10" s="671" t="s">
        <v>962</v>
      </c>
      <c r="O10" s="678" t="s">
        <v>963</v>
      </c>
      <c r="V10" s="230" t="s">
        <v>149</v>
      </c>
      <c r="W10" s="689"/>
      <c r="X10" s="689" t="s">
        <v>964</v>
      </c>
      <c r="Y10" s="690" t="s">
        <v>965</v>
      </c>
      <c r="Z10" s="369"/>
      <c r="AP10" s="40" t="s">
        <v>964</v>
      </c>
      <c r="AQ10" s="686" t="s">
        <v>964</v>
      </c>
      <c r="AW10" s="706" t="s">
        <v>966</v>
      </c>
      <c r="AX10" s="706" t="s">
        <v>966</v>
      </c>
      <c r="AZ10" s="706" t="s">
        <v>967</v>
      </c>
      <c r="BB10" s="706" t="s">
        <v>968</v>
      </c>
      <c r="BC10" s="706" t="s">
        <v>885</v>
      </c>
      <c r="BE10" s="706">
        <v>2008</v>
      </c>
      <c r="BF10" s="706" t="s">
        <v>969</v>
      </c>
      <c r="BH10" s="672" t="s">
        <v>970</v>
      </c>
      <c r="BJ10" s="672" t="s">
        <v>971</v>
      </c>
      <c r="BL10" s="672" t="s">
        <v>971</v>
      </c>
      <c r="BN10" s="672" t="s">
        <v>972</v>
      </c>
      <c r="BQ10" s="706">
        <v>4213778</v>
      </c>
      <c r="BR10" s="672" t="s">
        <v>181</v>
      </c>
      <c r="BS10" s="794"/>
      <c r="BT10" s="706">
        <v>64236876</v>
      </c>
      <c r="BU10" s="672" t="s">
        <v>216</v>
      </c>
      <c r="BV10" s="78"/>
      <c r="BW10"/>
      <c r="BX10"/>
    </row>
    <row r="11" spans="1:79" ht="11.25" customHeight="1">
      <c r="A11" s="43" t="s">
        <v>973</v>
      </c>
      <c r="B11" s="677">
        <v>2009</v>
      </c>
      <c r="E11" s="678" t="s">
        <v>974</v>
      </c>
      <c r="F11" s="44"/>
      <c r="G11" s="678" t="s">
        <v>975</v>
      </c>
      <c r="H11" s="678" t="s">
        <v>976</v>
      </c>
      <c r="I11" s="678" t="s">
        <v>150</v>
      </c>
      <c r="J11" s="678" t="s">
        <v>977</v>
      </c>
      <c r="K11" s="691" t="s">
        <v>978</v>
      </c>
      <c r="O11" s="678" t="s">
        <v>979</v>
      </c>
      <c r="V11" s="229" t="s">
        <v>150</v>
      </c>
      <c r="W11" s="167"/>
      <c r="X11" s="683" t="s">
        <v>949</v>
      </c>
      <c r="Y11" s="677" t="s">
        <v>980</v>
      </c>
      <c r="Z11" s="369"/>
      <c r="AP11" s="40" t="s">
        <v>196</v>
      </c>
      <c r="AQ11" s="687" t="s">
        <v>196</v>
      </c>
      <c r="AW11" s="706" t="s">
        <v>981</v>
      </c>
      <c r="AX11" s="706" t="s">
        <v>981</v>
      </c>
      <c r="AZ11" s="706" t="s">
        <v>982</v>
      </c>
      <c r="BB11" s="706" t="s">
        <v>983</v>
      </c>
      <c r="BC11" s="706" t="s">
        <v>885</v>
      </c>
      <c r="BE11" s="706">
        <v>2009</v>
      </c>
      <c r="BF11" s="706" t="s">
        <v>984</v>
      </c>
      <c r="BH11" s="672" t="s">
        <v>985</v>
      </c>
      <c r="BJ11" s="672" t="s">
        <v>954</v>
      </c>
      <c r="BL11" s="672" t="s">
        <v>954</v>
      </c>
      <c r="BN11" s="672" t="s">
        <v>986</v>
      </c>
      <c r="BQ11" s="706">
        <v>4213780</v>
      </c>
      <c r="BR11" s="672" t="s">
        <v>187</v>
      </c>
      <c r="BS11" s="794"/>
      <c r="BW11"/>
      <c r="BX11"/>
    </row>
    <row r="12" spans="1:79" ht="11.25" customHeight="1">
      <c r="A12" s="43" t="s">
        <v>987</v>
      </c>
      <c r="B12" s="677">
        <v>2010</v>
      </c>
      <c r="E12" s="678" t="s">
        <v>988</v>
      </c>
      <c r="F12" s="44"/>
      <c r="G12" s="678" t="s">
        <v>976</v>
      </c>
      <c r="I12" s="678" t="s">
        <v>151</v>
      </c>
      <c r="J12" s="678" t="s">
        <v>989</v>
      </c>
      <c r="K12" s="691" t="s">
        <v>990</v>
      </c>
      <c r="O12" s="678" t="s">
        <v>777</v>
      </c>
      <c r="V12" s="229" t="s">
        <v>151</v>
      </c>
      <c r="W12" s="687"/>
      <c r="X12" s="683" t="s">
        <v>991</v>
      </c>
      <c r="Y12" s="677" t="s">
        <v>783</v>
      </c>
      <c r="AP12" s="40"/>
      <c r="AW12" s="706" t="s">
        <v>150</v>
      </c>
      <c r="AX12" s="706" t="s">
        <v>150</v>
      </c>
      <c r="AZ12" s="706" t="s">
        <v>992</v>
      </c>
      <c r="BB12" s="706" t="s">
        <v>993</v>
      </c>
      <c r="BC12" s="706" t="s">
        <v>885</v>
      </c>
      <c r="BE12" s="706">
        <v>2010</v>
      </c>
      <c r="BF12" s="706" t="s">
        <v>994</v>
      </c>
      <c r="BH12" s="672" t="s">
        <v>995</v>
      </c>
      <c r="BJ12" s="672" t="s">
        <v>996</v>
      </c>
      <c r="BL12" s="672" t="s">
        <v>996</v>
      </c>
      <c r="BN12" s="672" t="s">
        <v>997</v>
      </c>
      <c r="BQ12" s="706">
        <v>4213779</v>
      </c>
      <c r="BR12" s="672" t="s">
        <v>949</v>
      </c>
      <c r="BS12" s="794"/>
      <c r="BT12" s="78"/>
      <c r="BU12" s="78"/>
      <c r="BV12" s="78"/>
      <c r="BW12"/>
      <c r="BX12"/>
    </row>
    <row r="13" spans="1:79" ht="11.25" customHeight="1">
      <c r="A13" s="43" t="s">
        <v>998</v>
      </c>
      <c r="B13" s="677">
        <v>2011</v>
      </c>
      <c r="E13" s="678" t="s">
        <v>999</v>
      </c>
      <c r="F13" s="44"/>
      <c r="I13" s="678" t="s">
        <v>152</v>
      </c>
      <c r="K13" s="691" t="s">
        <v>948</v>
      </c>
      <c r="V13" s="229" t="s">
        <v>152</v>
      </c>
      <c r="W13" s="687"/>
      <c r="X13" s="687"/>
      <c r="Y13" s="687"/>
      <c r="AW13" s="706" t="s">
        <v>151</v>
      </c>
      <c r="AX13" s="706" t="s">
        <v>151</v>
      </c>
      <c r="BB13" s="706" t="s">
        <v>1000</v>
      </c>
      <c r="BC13" s="706" t="s">
        <v>1001</v>
      </c>
      <c r="BE13" s="706">
        <v>2011</v>
      </c>
      <c r="BF13" s="706" t="s">
        <v>1002</v>
      </c>
      <c r="BH13" s="672" t="s">
        <v>1003</v>
      </c>
      <c r="BJ13" s="672" t="s">
        <v>985</v>
      </c>
      <c r="BL13" s="672" t="s">
        <v>985</v>
      </c>
      <c r="BN13" s="672" t="s">
        <v>1004</v>
      </c>
      <c r="BQ13" s="706">
        <v>4213783</v>
      </c>
      <c r="BR13" s="672" t="s">
        <v>964</v>
      </c>
      <c r="BS13" s="794"/>
      <c r="BT13" s="78"/>
      <c r="BU13" s="78"/>
      <c r="BV13" s="78"/>
      <c r="BW13" s="78"/>
      <c r="BX13"/>
    </row>
    <row r="14" spans="1:79" ht="11.25" customHeight="1">
      <c r="A14" s="43" t="s">
        <v>1005</v>
      </c>
      <c r="B14" s="677">
        <v>2012</v>
      </c>
      <c r="I14" s="678" t="s">
        <v>153</v>
      </c>
      <c r="J14" s="671" t="s">
        <v>1006</v>
      </c>
      <c r="N14" s="671" t="s">
        <v>1007</v>
      </c>
      <c r="V14" s="682">
        <v>13</v>
      </c>
      <c r="W14" s="683"/>
      <c r="X14" s="683" t="s">
        <v>817</v>
      </c>
      <c r="Y14" s="677" t="s">
        <v>783</v>
      </c>
      <c r="AW14" s="706" t="s">
        <v>152</v>
      </c>
      <c r="AX14" s="706" t="s">
        <v>152</v>
      </c>
      <c r="AZ14" s="671" t="s">
        <v>1008</v>
      </c>
      <c r="BB14" s="706" t="s">
        <v>1009</v>
      </c>
      <c r="BC14" s="706" t="s">
        <v>1001</v>
      </c>
      <c r="BE14" s="706">
        <v>2012</v>
      </c>
      <c r="BH14" s="672" t="s">
        <v>925</v>
      </c>
      <c r="BJ14" s="754" t="s">
        <v>1010</v>
      </c>
      <c r="BL14" s="754" t="s">
        <v>1010</v>
      </c>
      <c r="BN14" s="672" t="s">
        <v>1011</v>
      </c>
      <c r="BQ14" s="706">
        <v>4213782</v>
      </c>
      <c r="BR14" s="672" t="s">
        <v>196</v>
      </c>
      <c r="BS14" s="794"/>
      <c r="BT14" s="78"/>
      <c r="BU14" s="78"/>
      <c r="BV14" s="78"/>
      <c r="BW14" s="78"/>
      <c r="BX14"/>
    </row>
    <row r="15" spans="1:79" ht="19.5" customHeight="1">
      <c r="A15" s="43" t="s">
        <v>1012</v>
      </c>
      <c r="B15" s="677">
        <v>2013</v>
      </c>
      <c r="E15" s="954" t="s">
        <v>1013</v>
      </c>
      <c r="G15" s="671" t="s">
        <v>1014</v>
      </c>
      <c r="H15" s="671" t="s">
        <v>1015</v>
      </c>
      <c r="I15" s="183" t="s">
        <v>154</v>
      </c>
      <c r="J15" s="687" t="s">
        <v>1016</v>
      </c>
      <c r="N15" s="713" t="s">
        <v>1017</v>
      </c>
      <c r="X15" s="40"/>
      <c r="AW15" s="706" t="s">
        <v>153</v>
      </c>
      <c r="AX15" s="706" t="s">
        <v>153</v>
      </c>
      <c r="AZ15" s="706" t="s">
        <v>935</v>
      </c>
      <c r="BB15" s="706" t="s">
        <v>1018</v>
      </c>
      <c r="BC15" s="706" t="s">
        <v>1001</v>
      </c>
      <c r="BE15" s="706">
        <v>2013</v>
      </c>
      <c r="BH15" s="672" t="s">
        <v>940</v>
      </c>
      <c r="BJ15" s="754" t="s">
        <v>1019</v>
      </c>
      <c r="BL15" s="754" t="s">
        <v>1019</v>
      </c>
      <c r="BN15" s="672" t="s">
        <v>1020</v>
      </c>
      <c r="BR15" s="78"/>
      <c r="BS15" s="78"/>
      <c r="BT15" s="78"/>
      <c r="BU15" s="78"/>
      <c r="BV15" s="78"/>
      <c r="BW15" s="78"/>
      <c r="BX15"/>
    </row>
    <row r="16" spans="1:79" ht="21" customHeight="1">
      <c r="A16" s="43" t="s">
        <v>1021</v>
      </c>
      <c r="B16" s="677">
        <v>2014</v>
      </c>
      <c r="E16" s="955" t="s">
        <v>1022</v>
      </c>
      <c r="G16" s="678" t="s">
        <v>1023</v>
      </c>
      <c r="H16" s="678" t="s">
        <v>1024</v>
      </c>
      <c r="I16" s="183" t="s">
        <v>696</v>
      </c>
      <c r="J16" s="687" t="s">
        <v>800</v>
      </c>
      <c r="N16" s="713" t="s">
        <v>1025</v>
      </c>
      <c r="AW16" s="706" t="s">
        <v>154</v>
      </c>
      <c r="AX16" s="706" t="s">
        <v>154</v>
      </c>
      <c r="AZ16" s="706" t="s">
        <v>951</v>
      </c>
      <c r="BB16" s="706" t="s">
        <v>1026</v>
      </c>
      <c r="BC16" s="706" t="s">
        <v>1001</v>
      </c>
      <c r="BE16" s="706">
        <v>2014</v>
      </c>
      <c r="BH16" s="672" t="s">
        <v>956</v>
      </c>
      <c r="BJ16" s="754" t="s">
        <v>1027</v>
      </c>
      <c r="BL16" s="754" t="s">
        <v>1027</v>
      </c>
      <c r="BN16" s="672" t="s">
        <v>1028</v>
      </c>
      <c r="BR16" s="78"/>
      <c r="BS16" s="78"/>
      <c r="BT16" s="78"/>
      <c r="BU16" s="78"/>
      <c r="BV16" s="78"/>
      <c r="BW16" s="78"/>
      <c r="BX16"/>
    </row>
    <row r="17" spans="1:82" ht="21" customHeight="1">
      <c r="A17" s="43" t="s">
        <v>1029</v>
      </c>
      <c r="B17" s="677">
        <v>2015</v>
      </c>
      <c r="G17" s="678" t="s">
        <v>976</v>
      </c>
      <c r="H17" s="678" t="s">
        <v>976</v>
      </c>
      <c r="I17" s="678" t="s">
        <v>398</v>
      </c>
      <c r="N17" s="713" t="s">
        <v>1030</v>
      </c>
      <c r="X17" s="40"/>
      <c r="AW17" s="706" t="s">
        <v>696</v>
      </c>
      <c r="AX17" s="706" t="s">
        <v>696</v>
      </c>
      <c r="AZ17" s="706" t="s">
        <v>1031</v>
      </c>
      <c r="BB17" s="706" t="s">
        <v>1032</v>
      </c>
      <c r="BC17" s="706" t="s">
        <v>885</v>
      </c>
      <c r="BE17" s="706">
        <v>2015</v>
      </c>
      <c r="BH17" s="672" t="s">
        <v>972</v>
      </c>
      <c r="BJ17" s="754" t="s">
        <v>1033</v>
      </c>
      <c r="BL17" s="754" t="s">
        <v>1033</v>
      </c>
      <c r="BN17" s="672" t="s">
        <v>1034</v>
      </c>
      <c r="BR17" s="671" t="s">
        <v>828</v>
      </c>
      <c r="BS17" s="846"/>
      <c r="BU17" s="671" t="s">
        <v>1035</v>
      </c>
      <c r="BV17" s="78"/>
      <c r="BW17"/>
      <c r="BX17" s="671" t="s">
        <v>1036</v>
      </c>
      <c r="CA17" s="671" t="s">
        <v>1037</v>
      </c>
      <c r="CD17" s="671" t="s">
        <v>1038</v>
      </c>
    </row>
    <row r="18" spans="1:82" ht="21" customHeight="1">
      <c r="A18" s="43" t="s">
        <v>1039</v>
      </c>
      <c r="B18" s="677">
        <v>2016</v>
      </c>
      <c r="I18" s="678" t="s">
        <v>705</v>
      </c>
      <c r="N18" s="713" t="s">
        <v>1040</v>
      </c>
      <c r="X18" s="40"/>
      <c r="AW18" s="706" t="s">
        <v>398</v>
      </c>
      <c r="AX18" s="706" t="s">
        <v>398</v>
      </c>
      <c r="BB18" s="706" t="s">
        <v>1041</v>
      </c>
      <c r="BC18" s="706" t="s">
        <v>885</v>
      </c>
      <c r="BE18" s="706">
        <v>2016</v>
      </c>
      <c r="BH18" s="672" t="s">
        <v>986</v>
      </c>
      <c r="BJ18" s="754" t="s">
        <v>1042</v>
      </c>
      <c r="BL18" s="754" t="s">
        <v>1042</v>
      </c>
      <c r="BN18" s="672" t="s">
        <v>1043</v>
      </c>
      <c r="BQ18" s="848" t="s">
        <v>858</v>
      </c>
      <c r="BR18" s="40" t="s">
        <v>859</v>
      </c>
      <c r="BS18" s="40"/>
      <c r="BT18" s="848" t="s">
        <v>1044</v>
      </c>
      <c r="BU18" s="40" t="s">
        <v>1045</v>
      </c>
      <c r="BV18" s="78"/>
      <c r="BW18" s="848" t="s">
        <v>1046</v>
      </c>
      <c r="BX18" s="40" t="s">
        <v>1047</v>
      </c>
      <c r="BZ18" s="848" t="s">
        <v>1048</v>
      </c>
      <c r="CA18" s="40" t="s">
        <v>1049</v>
      </c>
      <c r="CC18" s="848" t="s">
        <v>1050</v>
      </c>
      <c r="CD18" s="40" t="s">
        <v>1051</v>
      </c>
    </row>
    <row r="19" spans="1:82" ht="21" customHeight="1">
      <c r="A19" s="43" t="s">
        <v>1052</v>
      </c>
      <c r="B19" s="677">
        <v>2017</v>
      </c>
      <c r="I19" s="678" t="s">
        <v>709</v>
      </c>
      <c r="N19" s="713" t="s">
        <v>1053</v>
      </c>
      <c r="X19" s="40"/>
      <c r="AW19" s="706" t="s">
        <v>705</v>
      </c>
      <c r="AX19" s="706" t="s">
        <v>705</v>
      </c>
      <c r="AZ19" s="671" t="s">
        <v>1054</v>
      </c>
      <c r="BB19" s="706" t="s">
        <v>1055</v>
      </c>
      <c r="BC19" s="706" t="s">
        <v>885</v>
      </c>
      <c r="BE19" s="706">
        <v>2017</v>
      </c>
      <c r="BH19" s="672" t="s">
        <v>1056</v>
      </c>
      <c r="BJ19" s="754" t="s">
        <v>1057</v>
      </c>
      <c r="BL19" s="754" t="s">
        <v>1057</v>
      </c>
      <c r="BQ19" s="706">
        <v>4190064</v>
      </c>
      <c r="BR19" s="672" t="s">
        <v>1058</v>
      </c>
      <c r="BS19" s="794"/>
      <c r="BT19" s="706">
        <v>64235586</v>
      </c>
      <c r="BU19" s="672" t="s">
        <v>1059</v>
      </c>
      <c r="BV19" s="78"/>
      <c r="BW19" s="706">
        <v>4189706</v>
      </c>
      <c r="BX19" s="672" t="s">
        <v>1060</v>
      </c>
      <c r="BZ19" s="706">
        <v>64235589</v>
      </c>
      <c r="CA19" s="672" t="s">
        <v>1061</v>
      </c>
      <c r="CC19" s="706">
        <v>4189708</v>
      </c>
      <c r="CD19" s="672" t="s">
        <v>1062</v>
      </c>
    </row>
    <row r="20" spans="1:82" ht="21" customHeight="1">
      <c r="A20" s="43" t="s">
        <v>1063</v>
      </c>
      <c r="B20" s="677">
        <v>2018</v>
      </c>
      <c r="I20" s="678" t="s">
        <v>460</v>
      </c>
      <c r="N20" s="713" t="s">
        <v>1064</v>
      </c>
      <c r="AW20" s="706" t="s">
        <v>709</v>
      </c>
      <c r="AX20" s="706" t="s">
        <v>709</v>
      </c>
      <c r="AZ20" s="706" t="s">
        <v>1065</v>
      </c>
      <c r="BB20" s="706" t="s">
        <v>1066</v>
      </c>
      <c r="BC20" s="706" t="s">
        <v>1001</v>
      </c>
      <c r="BE20" s="706">
        <v>2018</v>
      </c>
      <c r="BH20" s="672" t="s">
        <v>997</v>
      </c>
      <c r="BJ20" s="672" t="s">
        <v>925</v>
      </c>
      <c r="BL20" s="672" t="s">
        <v>925</v>
      </c>
      <c r="BQ20" s="706">
        <v>4190065</v>
      </c>
      <c r="BR20" s="672" t="s">
        <v>1067</v>
      </c>
      <c r="BS20" s="794"/>
      <c r="BT20" s="706">
        <v>64235587</v>
      </c>
      <c r="BU20" s="672" t="s">
        <v>1068</v>
      </c>
      <c r="BV20" s="78"/>
      <c r="BW20" s="706">
        <v>4189705</v>
      </c>
      <c r="BX20" s="672" t="s">
        <v>1069</v>
      </c>
      <c r="BZ20" s="706">
        <v>64235590</v>
      </c>
      <c r="CA20" s="672" t="s">
        <v>1070</v>
      </c>
      <c r="CC20" s="706">
        <v>4189709</v>
      </c>
      <c r="CD20" s="672" t="s">
        <v>1071</v>
      </c>
    </row>
    <row r="21" spans="1:82" ht="21" customHeight="1">
      <c r="A21" s="43" t="s">
        <v>1072</v>
      </c>
      <c r="B21" s="677">
        <v>2019</v>
      </c>
      <c r="I21" s="678" t="s">
        <v>1073</v>
      </c>
      <c r="N21" s="713" t="s">
        <v>1074</v>
      </c>
      <c r="AW21" s="706" t="s">
        <v>460</v>
      </c>
      <c r="AX21" s="706" t="s">
        <v>460</v>
      </c>
      <c r="AZ21" s="706" t="s">
        <v>1075</v>
      </c>
      <c r="BB21" s="706" t="s">
        <v>1076</v>
      </c>
      <c r="BC21" s="706" t="s">
        <v>885</v>
      </c>
      <c r="BE21" s="706">
        <v>2019</v>
      </c>
      <c r="BH21" s="672" t="s">
        <v>1004</v>
      </c>
      <c r="BJ21" s="672" t="s">
        <v>940</v>
      </c>
      <c r="BL21" s="672" t="s">
        <v>940</v>
      </c>
      <c r="BQ21" s="706">
        <v>4190066</v>
      </c>
      <c r="BR21" s="672" t="s">
        <v>1077</v>
      </c>
      <c r="BS21" s="794"/>
      <c r="BT21" s="706">
        <v>64235585</v>
      </c>
      <c r="BU21" s="672" t="s">
        <v>1078</v>
      </c>
      <c r="BV21" s="78"/>
      <c r="BW21" s="706">
        <v>4189707</v>
      </c>
      <c r="BX21" s="672" t="s">
        <v>1079</v>
      </c>
      <c r="BZ21" s="706">
        <v>64235591</v>
      </c>
      <c r="CA21" s="672" t="s">
        <v>1080</v>
      </c>
      <c r="CC21" s="706">
        <v>4189710</v>
      </c>
      <c r="CD21" s="672" t="s">
        <v>1081</v>
      </c>
    </row>
    <row r="22" spans="1:82" ht="21" customHeight="1">
      <c r="A22" s="43" t="s">
        <v>1082</v>
      </c>
      <c r="B22" s="677">
        <v>2020</v>
      </c>
      <c r="N22" s="713" t="s">
        <v>1083</v>
      </c>
      <c r="AW22" s="706" t="s">
        <v>1073</v>
      </c>
      <c r="AX22" s="706" t="s">
        <v>1073</v>
      </c>
      <c r="AZ22" s="706" t="s">
        <v>1084</v>
      </c>
      <c r="BB22" s="706" t="s">
        <v>1085</v>
      </c>
      <c r="BC22" s="706" t="s">
        <v>885</v>
      </c>
      <c r="BE22" s="706">
        <v>2020</v>
      </c>
      <c r="BH22" s="672" t="s">
        <v>1011</v>
      </c>
      <c r="BJ22" s="672" t="s">
        <v>956</v>
      </c>
      <c r="BL22" s="672" t="s">
        <v>956</v>
      </c>
      <c r="BQ22" s="706">
        <v>4190067</v>
      </c>
      <c r="BR22" s="672" t="s">
        <v>1086</v>
      </c>
      <c r="BS22" s="794"/>
      <c r="BT22" s="78"/>
      <c r="BU22" s="78"/>
      <c r="BV22" s="78"/>
      <c r="BW22" s="78"/>
      <c r="CC22" s="706">
        <v>4189711</v>
      </c>
      <c r="CD22" s="672" t="s">
        <v>285</v>
      </c>
    </row>
    <row r="23" spans="1:82" ht="21" customHeight="1">
      <c r="A23" s="43" t="s">
        <v>1087</v>
      </c>
      <c r="B23" s="677">
        <v>2021</v>
      </c>
      <c r="AW23" s="706" t="s">
        <v>1088</v>
      </c>
      <c r="AX23" s="706" t="s">
        <v>1088</v>
      </c>
      <c r="AZ23" s="706" t="s">
        <v>1089</v>
      </c>
      <c r="BB23" s="706" t="s">
        <v>1090</v>
      </c>
      <c r="BC23" s="706" t="s">
        <v>793</v>
      </c>
      <c r="BE23" s="706">
        <v>2021</v>
      </c>
      <c r="BH23" s="672" t="s">
        <v>1020</v>
      </c>
      <c r="BJ23" s="672" t="s">
        <v>972</v>
      </c>
      <c r="BL23" s="672" t="s">
        <v>972</v>
      </c>
      <c r="BQ23" s="706">
        <v>4190068</v>
      </c>
      <c r="BR23" s="672" t="s">
        <v>1091</v>
      </c>
      <c r="BS23" s="794"/>
      <c r="BT23" s="78"/>
      <c r="BU23" s="78"/>
      <c r="BV23" s="78"/>
      <c r="BW23" s="78"/>
      <c r="CC23" s="706">
        <v>5110778</v>
      </c>
      <c r="CD23" s="672" t="s">
        <v>1092</v>
      </c>
    </row>
    <row r="24" spans="1:82" ht="21" customHeight="1">
      <c r="A24" s="43" t="s">
        <v>1093</v>
      </c>
      <c r="B24" s="677">
        <v>2022</v>
      </c>
      <c r="AW24" s="706" t="s">
        <v>1094</v>
      </c>
      <c r="AX24" s="706" t="s">
        <v>1094</v>
      </c>
      <c r="AZ24" s="706" t="s">
        <v>1095</v>
      </c>
      <c r="BB24" s="706" t="s">
        <v>1096</v>
      </c>
      <c r="BC24" s="706" t="s">
        <v>1097</v>
      </c>
      <c r="BE24" s="706">
        <v>2022</v>
      </c>
      <c r="BH24" s="672" t="s">
        <v>1028</v>
      </c>
      <c r="BJ24" s="672" t="s">
        <v>986</v>
      </c>
      <c r="BL24" s="672" t="s">
        <v>986</v>
      </c>
      <c r="BQ24" s="706">
        <v>4190069</v>
      </c>
      <c r="BR24" s="672" t="s">
        <v>1098</v>
      </c>
      <c r="BS24" s="794"/>
      <c r="BT24" s="78"/>
      <c r="BU24" s="78"/>
      <c r="BV24" s="78"/>
      <c r="BW24" s="78"/>
    </row>
    <row r="25" spans="1:82" ht="11.25" customHeight="1">
      <c r="A25" s="43" t="s">
        <v>1099</v>
      </c>
      <c r="B25" s="677">
        <v>2023</v>
      </c>
      <c r="AW25" s="706" t="s">
        <v>1100</v>
      </c>
      <c r="AX25" s="706" t="s">
        <v>1100</v>
      </c>
      <c r="AZ25" s="706" t="s">
        <v>1101</v>
      </c>
      <c r="BB25" s="706" t="s">
        <v>1102</v>
      </c>
      <c r="BC25" s="706" t="s">
        <v>1097</v>
      </c>
      <c r="BE25" s="706">
        <v>2023</v>
      </c>
      <c r="BH25" s="672" t="s">
        <v>1034</v>
      </c>
      <c r="BJ25" s="672" t="s">
        <v>1056</v>
      </c>
      <c r="BL25" s="672" t="s">
        <v>1056</v>
      </c>
      <c r="BQ25" s="706">
        <v>4190070</v>
      </c>
      <c r="BR25" s="672" t="s">
        <v>1103</v>
      </c>
      <c r="BS25" s="794"/>
      <c r="BT25" s="78"/>
      <c r="BU25" s="78"/>
      <c r="BV25" s="78"/>
      <c r="BW25" s="78"/>
    </row>
    <row r="26" spans="1:82" ht="11.25" customHeight="1">
      <c r="A26" s="43" t="s">
        <v>1104</v>
      </c>
      <c r="B26" s="677">
        <v>2024</v>
      </c>
      <c r="J26" s="987" t="s">
        <v>1105</v>
      </c>
      <c r="AX26" s="706" t="s">
        <v>473</v>
      </c>
      <c r="AZ26" s="706" t="s">
        <v>979</v>
      </c>
      <c r="BB26" s="706" t="s">
        <v>1106</v>
      </c>
      <c r="BC26" s="706" t="s">
        <v>1097</v>
      </c>
      <c r="BE26" s="706">
        <v>2024</v>
      </c>
      <c r="BH26" s="672" t="s">
        <v>1043</v>
      </c>
      <c r="BJ26" s="672" t="s">
        <v>997</v>
      </c>
      <c r="BL26" s="672" t="s">
        <v>997</v>
      </c>
      <c r="BQ26" s="706">
        <v>4190071</v>
      </c>
      <c r="BR26" s="672" t="s">
        <v>1107</v>
      </c>
      <c r="BS26" s="794"/>
      <c r="BT26" s="78"/>
      <c r="BU26" s="78"/>
      <c r="BV26" s="78"/>
      <c r="BW26" s="78"/>
    </row>
    <row r="27" spans="1:82" ht="11.25" customHeight="1">
      <c r="A27" s="43" t="s">
        <v>1108</v>
      </c>
      <c r="B27" s="677">
        <v>2025</v>
      </c>
      <c r="J27" s="96" t="s">
        <v>1109</v>
      </c>
      <c r="AX27" s="706" t="s">
        <v>472</v>
      </c>
      <c r="BB27" s="706" t="s">
        <v>1110</v>
      </c>
      <c r="BC27" s="706" t="s">
        <v>1097</v>
      </c>
      <c r="BE27" s="706">
        <v>2025</v>
      </c>
      <c r="BH27" s="78" t="s">
        <v>17</v>
      </c>
      <c r="BJ27" s="672" t="s">
        <v>1004</v>
      </c>
      <c r="BL27" s="672" t="s">
        <v>1004</v>
      </c>
      <c r="BN27" s="78" t="s">
        <v>17</v>
      </c>
      <c r="BQ27" s="706">
        <v>4190072</v>
      </c>
      <c r="BR27" s="672" t="s">
        <v>1111</v>
      </c>
      <c r="BS27" s="794"/>
      <c r="BT27" s="78"/>
      <c r="BU27" s="78"/>
      <c r="BV27" s="78"/>
      <c r="BW27" s="78"/>
    </row>
    <row r="28" spans="1:82" ht="11.25" customHeight="1">
      <c r="A28" s="43" t="s">
        <v>1112</v>
      </c>
      <c r="D28" s="43"/>
      <c r="E28" s="692"/>
      <c r="F28" s="692"/>
      <c r="H28" s="153" t="s">
        <v>1113</v>
      </c>
      <c r="AX28" s="706" t="s">
        <v>720</v>
      </c>
      <c r="AZ28" s="671" t="s">
        <v>1114</v>
      </c>
      <c r="BB28" s="706" t="s">
        <v>1115</v>
      </c>
      <c r="BC28" s="706" t="s">
        <v>1116</v>
      </c>
      <c r="BE28" s="706">
        <v>2026</v>
      </c>
      <c r="BH28" s="78" t="s">
        <v>17</v>
      </c>
      <c r="BJ28" s="672" t="s">
        <v>1011</v>
      </c>
      <c r="BL28" s="672" t="s">
        <v>1011</v>
      </c>
      <c r="BN28" s="78" t="s">
        <v>17</v>
      </c>
      <c r="BQ28" s="706">
        <v>4190073</v>
      </c>
      <c r="BR28" s="672" t="s">
        <v>1117</v>
      </c>
      <c r="BS28" s="794"/>
      <c r="BT28" s="78"/>
      <c r="BU28" s="78"/>
      <c r="BV28" s="78"/>
      <c r="BW28" s="78"/>
    </row>
    <row r="29" spans="1:82" ht="11.25" customHeight="1">
      <c r="A29" s="43" t="s">
        <v>1118</v>
      </c>
      <c r="D29" s="693" t="s">
        <v>1119</v>
      </c>
      <c r="E29" s="694" t="str">
        <f>IF(TEMPLATE_GROUP="","",INDEX(StartDateList,MATCH(TEMPLATE_GROUP,CodeTemplateList,0),1))</f>
        <v>01.10.2023</v>
      </c>
      <c r="F29" s="694" t="str">
        <f>IF(TEMPLATE_GROUP="","",INDEX(EndDateList,MATCH(TEMPLATE_GROUP,CodeTemplateList,0),1))</f>
        <v>31.12.2023</v>
      </c>
      <c r="H29" s="695" t="s">
        <v>1120</v>
      </c>
      <c r="AX29" s="706" t="s">
        <v>455</v>
      </c>
      <c r="AZ29" s="706" t="s">
        <v>778</v>
      </c>
      <c r="BB29" s="706" t="s">
        <v>979</v>
      </c>
      <c r="BC29" s="369"/>
      <c r="BE29" s="706">
        <v>2027</v>
      </c>
      <c r="BJ29" s="672" t="s">
        <v>1020</v>
      </c>
      <c r="BL29" s="672" t="s">
        <v>1020</v>
      </c>
    </row>
    <row r="30" spans="1:82" ht="11.25" customHeight="1">
      <c r="A30" s="43" t="s">
        <v>1121</v>
      </c>
      <c r="D30" s="696"/>
      <c r="E30" s="170"/>
      <c r="F30" s="170"/>
      <c r="AX30" s="706" t="s">
        <v>1122</v>
      </c>
      <c r="AZ30" s="706" t="s">
        <v>806</v>
      </c>
      <c r="BE30" s="706">
        <v>2028</v>
      </c>
      <c r="BJ30" s="672" t="s">
        <v>1123</v>
      </c>
      <c r="BL30" s="672" t="s">
        <v>1123</v>
      </c>
    </row>
    <row r="31" spans="1:82" ht="12.75" customHeight="1">
      <c r="A31" s="43" t="s">
        <v>1124</v>
      </c>
      <c r="D31" s="43"/>
      <c r="E31" s="692"/>
      <c r="F31" s="692"/>
      <c r="H31" s="697"/>
      <c r="AX31" s="706" t="s">
        <v>1125</v>
      </c>
      <c r="AZ31" s="706" t="s">
        <v>1126</v>
      </c>
      <c r="BE31" s="706">
        <v>2029</v>
      </c>
      <c r="BJ31" s="672" t="s">
        <v>1127</v>
      </c>
      <c r="BL31" s="672" t="s">
        <v>1127</v>
      </c>
    </row>
    <row r="32" spans="1:82" ht="11.25" customHeight="1">
      <c r="A32" s="43" t="s">
        <v>1128</v>
      </c>
      <c r="D32" s="693" t="s">
        <v>1129</v>
      </c>
      <c r="E32" s="694" t="str">
        <f>IF(TEMPLATE_GROUP="","",INDEX(StartDateList,MATCH(TEMPLATE_GROUP,CodeTemplateList,0),1))</f>
        <v>01.10.2023</v>
      </c>
      <c r="F32" s="694" t="str">
        <f>IF(TEMPLATE_GROUP="","",INDEX(EndDateList,MATCH(TEMPLATE_GROUP,CodeTemplateList,0),1))</f>
        <v>31.12.2023</v>
      </c>
      <c r="H32" s="698" t="s">
        <v>1130</v>
      </c>
      <c r="O32" s="43" t="s">
        <v>776</v>
      </c>
      <c r="AX32" s="706" t="s">
        <v>1131</v>
      </c>
      <c r="AZ32" s="706" t="s">
        <v>873</v>
      </c>
      <c r="BE32" s="706">
        <v>2030</v>
      </c>
      <c r="BJ32" s="672" t="s">
        <v>1028</v>
      </c>
      <c r="BL32" s="672" t="s">
        <v>1028</v>
      </c>
    </row>
    <row r="33" spans="1:66" ht="11.25" customHeight="1">
      <c r="A33" s="43" t="s">
        <v>1132</v>
      </c>
      <c r="O33" s="43" t="s">
        <v>803</v>
      </c>
      <c r="AX33" s="706" t="s">
        <v>1133</v>
      </c>
      <c r="AZ33" s="706" t="s">
        <v>777</v>
      </c>
      <c r="BE33" s="706">
        <v>2031</v>
      </c>
      <c r="BJ33" s="672" t="s">
        <v>1034</v>
      </c>
      <c r="BL33" s="672" t="s">
        <v>1034</v>
      </c>
    </row>
    <row r="34" spans="1:66" ht="11.25" customHeight="1">
      <c r="A34" s="43" t="s">
        <v>1134</v>
      </c>
      <c r="O34" s="43" t="s">
        <v>839</v>
      </c>
      <c r="AX34" s="706" t="s">
        <v>1135</v>
      </c>
      <c r="BE34" s="706">
        <v>2032</v>
      </c>
      <c r="BJ34" s="672" t="s">
        <v>1043</v>
      </c>
      <c r="BL34" s="672" t="s">
        <v>1043</v>
      </c>
    </row>
    <row r="35" spans="1:66" ht="11.25" customHeight="1">
      <c r="A35" s="43" t="s">
        <v>1136</v>
      </c>
      <c r="O35" s="43" t="s">
        <v>871</v>
      </c>
      <c r="AX35" s="706" t="s">
        <v>1137</v>
      </c>
      <c r="AZ35" s="671" t="s">
        <v>1138</v>
      </c>
      <c r="BE35" s="706">
        <v>2033</v>
      </c>
      <c r="BL35" s="672" t="s">
        <v>1139</v>
      </c>
    </row>
    <row r="36" spans="1:66" ht="11.25" customHeight="1">
      <c r="A36" s="43" t="s">
        <v>1140</v>
      </c>
      <c r="D36" s="699" t="s">
        <v>1141</v>
      </c>
      <c r="E36" s="700" t="s">
        <v>392</v>
      </c>
      <c r="F36" s="686" t="str">
        <f>INDEX(E37:E41,MATCH(TEMPLATE_SPHERE,F37:F41,0))</f>
        <v>теплоснабжения</v>
      </c>
      <c r="G36" s="686" t="str">
        <f>INDEX(G37:G41,MATCH(TEMPLATE_SPHERE,F37:F41,0))</f>
        <v>теплоснабжение</v>
      </c>
      <c r="O36" s="43" t="s">
        <v>896</v>
      </c>
      <c r="AX36" s="706" t="s">
        <v>1142</v>
      </c>
      <c r="AZ36" s="706" t="s">
        <v>777</v>
      </c>
      <c r="BE36" s="706">
        <v>2034</v>
      </c>
      <c r="BL36" s="672" t="s">
        <v>1143</v>
      </c>
    </row>
    <row r="37" spans="1:66" ht="11.25" customHeight="1">
      <c r="A37" s="43" t="s">
        <v>1144</v>
      </c>
      <c r="E37" s="255" t="s">
        <v>1145</v>
      </c>
      <c r="F37" s="701" t="s">
        <v>392</v>
      </c>
      <c r="G37" s="255" t="s">
        <v>1146</v>
      </c>
      <c r="O37" s="43" t="s">
        <v>915</v>
      </c>
      <c r="AX37" s="706" t="s">
        <v>1147</v>
      </c>
      <c r="AZ37" s="706" t="s">
        <v>805</v>
      </c>
      <c r="BE37" s="706">
        <v>2035</v>
      </c>
    </row>
    <row r="38" spans="1:66" ht="11.25" customHeight="1">
      <c r="A38" s="43" t="s">
        <v>14</v>
      </c>
      <c r="E38" s="255" t="s">
        <v>1148</v>
      </c>
      <c r="F38" s="702" t="s">
        <v>393</v>
      </c>
      <c r="G38" s="255" t="s">
        <v>1149</v>
      </c>
      <c r="O38" s="43" t="s">
        <v>931</v>
      </c>
      <c r="AX38" s="706" t="s">
        <v>1150</v>
      </c>
      <c r="AZ38" s="706" t="s">
        <v>840</v>
      </c>
      <c r="BE38" s="706">
        <v>2036</v>
      </c>
      <c r="BH38" s="671" t="s">
        <v>1151</v>
      </c>
      <c r="BJ38" s="671" t="s">
        <v>1152</v>
      </c>
      <c r="BL38" s="671" t="s">
        <v>1153</v>
      </c>
      <c r="BN38" s="671" t="s">
        <v>1154</v>
      </c>
    </row>
    <row r="39" spans="1:66" ht="11.25" customHeight="1">
      <c r="A39" s="43" t="s">
        <v>1155</v>
      </c>
      <c r="E39" s="255" t="s">
        <v>1156</v>
      </c>
      <c r="F39" s="702" t="s">
        <v>394</v>
      </c>
      <c r="G39" s="255" t="s">
        <v>1157</v>
      </c>
      <c r="O39" s="43" t="s">
        <v>947</v>
      </c>
      <c r="AX39" s="706" t="s">
        <v>1158</v>
      </c>
      <c r="AZ39" s="706" t="s">
        <v>872</v>
      </c>
      <c r="BE39" s="706">
        <v>2037</v>
      </c>
      <c r="BH39" s="672" t="s">
        <v>1159</v>
      </c>
      <c r="BJ39" s="754" t="s">
        <v>1159</v>
      </c>
      <c r="BL39" s="754" t="s">
        <v>1159</v>
      </c>
      <c r="BN39" s="672" t="s">
        <v>1160</v>
      </c>
    </row>
    <row r="40" spans="1:66" ht="11.25" customHeight="1">
      <c r="A40" s="43" t="s">
        <v>1161</v>
      </c>
      <c r="E40" s="255" t="s">
        <v>1162</v>
      </c>
      <c r="F40" s="702" t="s">
        <v>395</v>
      </c>
      <c r="G40" s="255" t="s">
        <v>1163</v>
      </c>
      <c r="O40" s="43" t="s">
        <v>963</v>
      </c>
      <c r="AX40" s="706" t="s">
        <v>1164</v>
      </c>
      <c r="BE40" s="706">
        <v>2038</v>
      </c>
      <c r="BH40" s="672" t="s">
        <v>1165</v>
      </c>
      <c r="BJ40" s="754" t="s">
        <v>1166</v>
      </c>
      <c r="BL40" s="754" t="s">
        <v>1166</v>
      </c>
      <c r="BN40" s="672" t="s">
        <v>1167</v>
      </c>
    </row>
    <row r="41" spans="1:66" ht="11.25" customHeight="1">
      <c r="A41" s="43" t="s">
        <v>1168</v>
      </c>
      <c r="E41" s="255" t="s">
        <v>1169</v>
      </c>
      <c r="F41" s="702" t="s">
        <v>396</v>
      </c>
      <c r="G41" s="255" t="s">
        <v>1169</v>
      </c>
      <c r="O41" s="43" t="s">
        <v>979</v>
      </c>
      <c r="AX41" s="706" t="s">
        <v>1170</v>
      </c>
      <c r="AZ41" s="671" t="s">
        <v>1171</v>
      </c>
      <c r="BE41" s="706">
        <v>2039</v>
      </c>
      <c r="BH41" s="672" t="s">
        <v>1172</v>
      </c>
      <c r="BJ41" s="754" t="s">
        <v>1173</v>
      </c>
      <c r="BL41" s="754" t="s">
        <v>1173</v>
      </c>
      <c r="BN41" s="672" t="s">
        <v>1174</v>
      </c>
    </row>
    <row r="42" spans="1:66" ht="11.25" customHeight="1">
      <c r="A42" s="43" t="s">
        <v>1175</v>
      </c>
      <c r="AX42" s="706" t="s">
        <v>1176</v>
      </c>
      <c r="AZ42" s="706" t="s">
        <v>776</v>
      </c>
      <c r="BE42" s="706">
        <v>2040</v>
      </c>
      <c r="BH42" s="672" t="s">
        <v>1177</v>
      </c>
      <c r="BJ42" s="754" t="s">
        <v>1178</v>
      </c>
      <c r="BL42" s="754" t="s">
        <v>1178</v>
      </c>
      <c r="BN42" s="672" t="s">
        <v>1179</v>
      </c>
    </row>
    <row r="43" spans="1:66" ht="11.25" customHeight="1">
      <c r="A43" s="43" t="s">
        <v>1180</v>
      </c>
      <c r="AX43" s="706" t="s">
        <v>1181</v>
      </c>
      <c r="AZ43" s="706" t="s">
        <v>803</v>
      </c>
      <c r="BE43" s="706">
        <v>2041</v>
      </c>
      <c r="BH43" s="672" t="s">
        <v>1182</v>
      </c>
      <c r="BJ43" s="754" t="s">
        <v>1172</v>
      </c>
      <c r="BL43" s="754" t="s">
        <v>1172</v>
      </c>
      <c r="BN43" s="672" t="s">
        <v>1183</v>
      </c>
    </row>
    <row r="44" spans="1:66" ht="11.25" customHeight="1">
      <c r="A44" s="43" t="s">
        <v>1184</v>
      </c>
      <c r="I44" s="494" t="s">
        <v>1185</v>
      </c>
      <c r="J44" s="687" t="s">
        <v>1186</v>
      </c>
      <c r="K44" s="687" t="s">
        <v>1187</v>
      </c>
      <c r="AX44" s="706" t="s">
        <v>1188</v>
      </c>
      <c r="AZ44" s="706" t="s">
        <v>839</v>
      </c>
      <c r="BE44" s="706">
        <v>2042</v>
      </c>
      <c r="BH44" s="672" t="s">
        <v>1189</v>
      </c>
      <c r="BJ44" s="754" t="s">
        <v>1177</v>
      </c>
      <c r="BL44" s="754" t="s">
        <v>1177</v>
      </c>
      <c r="BN44" s="672" t="s">
        <v>1190</v>
      </c>
    </row>
    <row r="45" spans="1:66" ht="11.25" customHeight="1">
      <c r="A45" s="43" t="s">
        <v>1191</v>
      </c>
      <c r="D45" s="699" t="s">
        <v>1192</v>
      </c>
      <c r="E45" s="700" t="s">
        <v>1193</v>
      </c>
      <c r="F45" s="493" t="s">
        <v>1194</v>
      </c>
      <c r="G45" s="492" t="s">
        <v>1195</v>
      </c>
      <c r="H45" s="494" t="s">
        <v>1196</v>
      </c>
      <c r="I45" s="997" t="b">
        <f>INDEX(PeriodIsEmptyList,MATCH(TEMPLATE_GROUP,CodeTemplateList,0),1)</f>
        <v>0</v>
      </c>
      <c r="J45" s="1002"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002"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706" t="s">
        <v>1197</v>
      </c>
      <c r="AZ45" s="706" t="s">
        <v>871</v>
      </c>
      <c r="BE45" s="706">
        <v>2043</v>
      </c>
      <c r="BH45" s="672" t="s">
        <v>1198</v>
      </c>
      <c r="BJ45" s="754" t="s">
        <v>1199</v>
      </c>
      <c r="BL45" s="754" t="s">
        <v>1199</v>
      </c>
      <c r="BN45" s="672" t="s">
        <v>1200</v>
      </c>
    </row>
    <row r="46" spans="1:66" ht="11.25" customHeight="1">
      <c r="A46" s="43" t="s">
        <v>1201</v>
      </c>
      <c r="E46" s="255" t="s">
        <v>22</v>
      </c>
      <c r="F46" s="701" t="s">
        <v>1202</v>
      </c>
      <c r="G46" s="703"/>
      <c r="H46" s="703"/>
      <c r="I46" s="998" t="b">
        <f>IF(TITLE_DATE_FIL="",TRUE,FALSE)</f>
        <v>1</v>
      </c>
      <c r="J46" s="1003" t="str">
        <f>"Общая информация о регулируемой организации ("&amp;TEMPLATE_SPHERE_RUS&amp;")"</f>
        <v>Общая информация о регулируемой организации (теплоснабжения)</v>
      </c>
      <c r="K46" s="781"/>
      <c r="AX46" s="706" t="s">
        <v>1203</v>
      </c>
      <c r="AZ46" s="706" t="s">
        <v>896</v>
      </c>
      <c r="BE46" s="706">
        <v>2044</v>
      </c>
      <c r="BH46" s="672" t="s">
        <v>1174</v>
      </c>
      <c r="BJ46" s="754" t="s">
        <v>1204</v>
      </c>
      <c r="BL46" s="754" t="s">
        <v>1204</v>
      </c>
      <c r="BN46" s="672" t="s">
        <v>1205</v>
      </c>
    </row>
    <row r="47" spans="1:66" ht="11.25" customHeight="1">
      <c r="A47" s="43" t="s">
        <v>1206</v>
      </c>
      <c r="E47" s="255" t="s">
        <v>28</v>
      </c>
      <c r="F47" s="702" t="s">
        <v>1193</v>
      </c>
      <c r="G47" s="704" t="str">
        <f>IF(f_year="","",IF(LEN(f_quart)=0,"",IF(f_quart="I квартал","01.01."&amp;f_year,IF(f_quart="II квартал","01.04."&amp;f_year,(IF(f_quart="III квартал","01.07."&amp;f_year,"01.10."&amp;f_year))))))</f>
        <v>01.10.2023</v>
      </c>
      <c r="H47" s="704" t="str">
        <f>IF(f_year="","",IF(LEN(f_quart)=0,"",IF(f_quart="I квартал","31.03."&amp;f_year,IF(f_quart="II квартал","30.06."&amp;f_year,(IF(f_quart="III квартал","30.09."&amp;f_year,"31.12."&amp;f_year))))))</f>
        <v>31.12.2023</v>
      </c>
      <c r="I47" s="999" t="b">
        <f>IF(OR(f_year="",f_quart=""),TRUE,FALSE)</f>
        <v>0</v>
      </c>
      <c r="J47" s="1003"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781"/>
      <c r="AX47" s="706" t="s">
        <v>474</v>
      </c>
      <c r="AZ47" s="706" t="s">
        <v>915</v>
      </c>
      <c r="BE47" s="706">
        <v>2045</v>
      </c>
      <c r="BH47" s="672" t="s">
        <v>1179</v>
      </c>
      <c r="BJ47" s="754" t="s">
        <v>1207</v>
      </c>
      <c r="BL47" s="754" t="s">
        <v>1207</v>
      </c>
      <c r="BN47" s="672" t="s">
        <v>1208</v>
      </c>
    </row>
    <row r="48" spans="1:66" ht="11.25" customHeight="1">
      <c r="A48" s="43" t="s">
        <v>1209</v>
      </c>
      <c r="E48" s="255" t="s">
        <v>493</v>
      </c>
      <c r="F48" s="702" t="s">
        <v>1210</v>
      </c>
      <c r="G48" s="704" t="str">
        <f>IF(f_year="","","01.01."&amp;f_year)</f>
        <v>01.01.2023</v>
      </c>
      <c r="H48" s="704" t="str">
        <f>IF(f_year="","","31.12."&amp;f_year)</f>
        <v>31.12.2023</v>
      </c>
      <c r="I48" s="998" t="b">
        <f>IF(f_year="",TRUE,FALSE)</f>
        <v>0</v>
      </c>
      <c r="J48" s="1003" t="s">
        <v>1211</v>
      </c>
      <c r="K48" s="781"/>
      <c r="AX48" s="706" t="s">
        <v>1212</v>
      </c>
      <c r="AZ48" s="706" t="s">
        <v>931</v>
      </c>
      <c r="BE48" s="706">
        <v>2046</v>
      </c>
      <c r="BH48" s="672" t="s">
        <v>1183</v>
      </c>
      <c r="BJ48" s="754" t="s">
        <v>1213</v>
      </c>
      <c r="BL48" s="754" t="s">
        <v>1213</v>
      </c>
      <c r="BN48" s="672" t="s">
        <v>1214</v>
      </c>
    </row>
    <row r="49" spans="1:64" ht="11.25" customHeight="1">
      <c r="A49" s="43" t="s">
        <v>1215</v>
      </c>
      <c r="E49" s="255" t="s">
        <v>718</v>
      </c>
      <c r="F49" s="702" t="s">
        <v>1216</v>
      </c>
      <c r="G49" s="704" t="str">
        <f>IF(f_year="","","01.01."&amp;f_year)</f>
        <v>01.01.2023</v>
      </c>
      <c r="H49" s="704" t="str">
        <f>IF(f_year="","","31.12."&amp;f_year)</f>
        <v>31.12.2023</v>
      </c>
      <c r="I49" s="998" t="b">
        <f>IF(f_year="",TRUE,FALSE)</f>
        <v>0</v>
      </c>
      <c r="J49" s="1003"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781"/>
      <c r="AX49" s="706" t="s">
        <v>721</v>
      </c>
      <c r="AZ49" s="706" t="s">
        <v>947</v>
      </c>
      <c r="BE49" s="706">
        <v>2047</v>
      </c>
      <c r="BH49" s="672" t="s">
        <v>1217</v>
      </c>
      <c r="BJ49" s="754" t="s">
        <v>1218</v>
      </c>
      <c r="BL49" s="754" t="s">
        <v>1218</v>
      </c>
    </row>
    <row r="50" spans="1:64" ht="11.25" customHeight="1">
      <c r="A50" s="43" t="s">
        <v>1219</v>
      </c>
      <c r="E50" s="255" t="s">
        <v>725</v>
      </c>
      <c r="F50" s="702" t="s">
        <v>1220</v>
      </c>
      <c r="G50" s="704" t="str">
        <f>IF(f_year="","","01.01."&amp;f_year)</f>
        <v>01.01.2023</v>
      </c>
      <c r="H50" s="704" t="str">
        <f>IF(f_year="","","31.12."&amp;f_year)</f>
        <v>31.12.2023</v>
      </c>
      <c r="I50" s="998" t="b">
        <f>IF(f_year="",TRUE,FALSE)</f>
        <v>0</v>
      </c>
      <c r="J50" s="1003"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781"/>
      <c r="AX50" s="706" t="s">
        <v>1221</v>
      </c>
      <c r="AZ50" s="706" t="s">
        <v>963</v>
      </c>
      <c r="BE50" s="706">
        <v>2048</v>
      </c>
      <c r="BH50" s="672" t="s">
        <v>1190</v>
      </c>
      <c r="BJ50" s="754" t="s">
        <v>1222</v>
      </c>
      <c r="BL50" s="754" t="s">
        <v>1222</v>
      </c>
    </row>
    <row r="51" spans="1:64" ht="11.25" customHeight="1">
      <c r="A51" s="43" t="s">
        <v>1223</v>
      </c>
      <c r="E51" s="255" t="s">
        <v>726</v>
      </c>
      <c r="F51" s="702" t="s">
        <v>1224</v>
      </c>
      <c r="G51" s="704" t="str">
        <f>IF(TITLE_PERIOD_START="","",TITLE_PERIOD_START)</f>
        <v/>
      </c>
      <c r="H51" s="704" t="str">
        <f>IF(TITLE_PERIOD_END="","",TITLE_PERIOD_END)</f>
        <v/>
      </c>
      <c r="I51" s="999" t="b">
        <f>IF(OR(TITLE_PERIOD_START="",TITLE_PERIOD_END=""),TRUE,FALSE)</f>
        <v>1</v>
      </c>
      <c r="J51" s="1003"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781"/>
      <c r="AX51" s="706" t="s">
        <v>1225</v>
      </c>
      <c r="AZ51" s="706" t="s">
        <v>979</v>
      </c>
      <c r="BE51" s="706">
        <v>2049</v>
      </c>
      <c r="BH51" s="672" t="s">
        <v>1200</v>
      </c>
      <c r="BJ51" s="754" t="s">
        <v>1226</v>
      </c>
      <c r="BL51" s="754" t="s">
        <v>1226</v>
      </c>
    </row>
    <row r="52" spans="1:64" ht="11.25" customHeight="1">
      <c r="A52" s="43" t="s">
        <v>1227</v>
      </c>
      <c r="E52" s="255" t="s">
        <v>727</v>
      </c>
      <c r="F52" s="702" t="s">
        <v>1228</v>
      </c>
      <c r="G52" s="704" t="str">
        <f>IF(TITLE_PERIOD_START="","",TITLE_PERIOD_START)</f>
        <v/>
      </c>
      <c r="H52" s="704" t="str">
        <f>IF(TITLE_PERIOD_END="","",TITLE_PERIOD_END)</f>
        <v/>
      </c>
      <c r="I52" s="999" t="b">
        <f>IF(OR(TITLE_PERIOD_START="",TITLE_PERIOD_END=""),TRUE,FALSE)</f>
        <v>1</v>
      </c>
      <c r="J52" s="1003" t="str">
        <f>"Показатели, подлежащие раскрытию в сфере "&amp;TEMPLATE_SPHERE_RUS&amp;" (цены и тарифы)"</f>
        <v>Показатели, подлежащие раскрытию в сфере теплоснабжения (цены и тарифы)</v>
      </c>
      <c r="K52" s="781"/>
      <c r="AX52" s="706" t="s">
        <v>1229</v>
      </c>
      <c r="AZ52" s="706" t="s">
        <v>777</v>
      </c>
      <c r="BE52" s="706">
        <v>2050</v>
      </c>
      <c r="BH52" s="672" t="s">
        <v>1205</v>
      </c>
      <c r="BJ52" s="754" t="s">
        <v>1174</v>
      </c>
      <c r="BL52" s="754" t="s">
        <v>1174</v>
      </c>
    </row>
    <row r="53" spans="1:64" ht="11.25" customHeight="1">
      <c r="A53" s="43" t="s">
        <v>1230</v>
      </c>
      <c r="E53" s="255" t="s">
        <v>1231</v>
      </c>
      <c r="F53" s="702" t="s">
        <v>1231</v>
      </c>
      <c r="G53" s="704" t="str">
        <f>IF(f_year="","","01.01."&amp;f_year)</f>
        <v>01.01.2023</v>
      </c>
      <c r="H53" s="704" t="str">
        <f>IF(f_year="","","31.12."&amp;f_year)</f>
        <v>31.12.2023</v>
      </c>
      <c r="I53" s="998" t="b">
        <f>IF(f_year="",TRUE,FALSE)</f>
        <v>0</v>
      </c>
      <c r="J53" s="1003" t="s">
        <v>1232</v>
      </c>
      <c r="K53" s="781"/>
      <c r="AX53" s="706" t="s">
        <v>1233</v>
      </c>
      <c r="BE53" s="706">
        <v>2051</v>
      </c>
      <c r="BH53" s="672" t="s">
        <v>1208</v>
      </c>
      <c r="BJ53" s="754" t="s">
        <v>1179</v>
      </c>
      <c r="BL53" s="754" t="s">
        <v>1179</v>
      </c>
    </row>
    <row r="54" spans="1:64" ht="11.25" customHeight="1">
      <c r="A54" s="43" t="s">
        <v>1234</v>
      </c>
      <c r="AX54" s="706" t="s">
        <v>1235</v>
      </c>
      <c r="AZ54" s="671" t="s">
        <v>1236</v>
      </c>
      <c r="BE54" s="706">
        <v>2052</v>
      </c>
      <c r="BH54" s="672" t="s">
        <v>1214</v>
      </c>
      <c r="BJ54" s="754" t="s">
        <v>1183</v>
      </c>
      <c r="BL54" s="754" t="s">
        <v>1183</v>
      </c>
    </row>
    <row r="55" spans="1:64" ht="11.25" customHeight="1">
      <c r="A55" s="43" t="s">
        <v>1237</v>
      </c>
      <c r="AX55" s="706" t="s">
        <v>1238</v>
      </c>
      <c r="AZ55" s="706" t="s">
        <v>779</v>
      </c>
      <c r="BE55" s="706">
        <v>2053</v>
      </c>
      <c r="BH55" s="78" t="s">
        <v>17</v>
      </c>
      <c r="BJ55" s="754" t="s">
        <v>1217</v>
      </c>
      <c r="BL55" s="754" t="s">
        <v>1217</v>
      </c>
    </row>
    <row r="56" spans="1:64" ht="11.25" customHeight="1">
      <c r="A56" s="43" t="s">
        <v>1239</v>
      </c>
      <c r="D56" s="705" t="s">
        <v>1240</v>
      </c>
      <c r="E56" s="687">
        <v>55</v>
      </c>
      <c r="F56" s="43" t="s">
        <v>1241</v>
      </c>
      <c r="AX56" s="706" t="s">
        <v>1242</v>
      </c>
      <c r="AZ56" s="706" t="s">
        <v>807</v>
      </c>
      <c r="BE56" s="706">
        <v>2054</v>
      </c>
      <c r="BH56" s="78" t="s">
        <v>17</v>
      </c>
      <c r="BJ56" s="754" t="s">
        <v>1190</v>
      </c>
      <c r="BL56" s="754" t="s">
        <v>1190</v>
      </c>
    </row>
    <row r="57" spans="1:64" ht="11.25" customHeight="1">
      <c r="A57" s="43" t="s">
        <v>1243</v>
      </c>
      <c r="D57" s="705" t="s">
        <v>1244</v>
      </c>
      <c r="E57" s="687">
        <v>66</v>
      </c>
      <c r="F57" s="43" t="s">
        <v>1241</v>
      </c>
      <c r="AX57" s="706" t="s">
        <v>1245</v>
      </c>
      <c r="AZ57" s="706" t="s">
        <v>842</v>
      </c>
      <c r="BE57" s="706">
        <v>2055</v>
      </c>
      <c r="BJ57" s="754" t="s">
        <v>1200</v>
      </c>
      <c r="BL57" s="754" t="s">
        <v>1200</v>
      </c>
    </row>
    <row r="58" spans="1:64" ht="11.25" customHeight="1">
      <c r="A58" s="43" t="s">
        <v>1246</v>
      </c>
      <c r="D58" s="705" t="s">
        <v>1247</v>
      </c>
      <c r="E58" s="687">
        <v>44</v>
      </c>
      <c r="F58" s="43" t="s">
        <v>1241</v>
      </c>
      <c r="AX58" s="706" t="s">
        <v>1248</v>
      </c>
      <c r="BE58" s="706">
        <v>2056</v>
      </c>
      <c r="BJ58" s="754" t="s">
        <v>1205</v>
      </c>
      <c r="BL58" s="754" t="s">
        <v>1205</v>
      </c>
    </row>
    <row r="59" spans="1:64" ht="11.25" customHeight="1">
      <c r="A59" s="43" t="s">
        <v>1249</v>
      </c>
      <c r="D59" s="705" t="s">
        <v>132</v>
      </c>
      <c r="E59" s="687" t="s">
        <v>1073</v>
      </c>
      <c r="F59" s="43" t="s">
        <v>1250</v>
      </c>
      <c r="AX59" s="706" t="s">
        <v>1251</v>
      </c>
      <c r="AZ59" s="671" t="s">
        <v>1252</v>
      </c>
      <c r="BE59" s="706">
        <v>2057</v>
      </c>
      <c r="BJ59" s="754" t="s">
        <v>1208</v>
      </c>
      <c r="BL59" s="754" t="s">
        <v>1208</v>
      </c>
    </row>
    <row r="60" spans="1:64" ht="11.25" customHeight="1">
      <c r="A60" s="43" t="s">
        <v>1253</v>
      </c>
      <c r="D60" s="705" t="s">
        <v>1254</v>
      </c>
      <c r="E60" s="687" t="s">
        <v>1073</v>
      </c>
      <c r="F60" s="43" t="s">
        <v>1250</v>
      </c>
      <c r="AX60" s="706" t="s">
        <v>1255</v>
      </c>
      <c r="AZ60" s="706" t="s">
        <v>780</v>
      </c>
      <c r="BE60" s="706">
        <v>2058</v>
      </c>
      <c r="BJ60" s="754" t="s">
        <v>1214</v>
      </c>
      <c r="BL60" s="754" t="s">
        <v>1214</v>
      </c>
    </row>
    <row r="61" spans="1:64" ht="11.25" customHeight="1">
      <c r="A61" s="43" t="s">
        <v>1256</v>
      </c>
      <c r="D61" s="705" t="s">
        <v>1257</v>
      </c>
      <c r="E61" s="687">
        <v>26</v>
      </c>
      <c r="F61" s="43" t="s">
        <v>1250</v>
      </c>
      <c r="AX61" s="706" t="s">
        <v>1258</v>
      </c>
      <c r="AZ61" s="706" t="s">
        <v>808</v>
      </c>
      <c r="BE61" s="706">
        <v>2059</v>
      </c>
      <c r="BL61" s="754" t="s">
        <v>1259</v>
      </c>
    </row>
    <row r="62" spans="1:64" ht="11.25" customHeight="1">
      <c r="A62" s="43" t="s">
        <v>1260</v>
      </c>
      <c r="D62" s="705" t="s">
        <v>131</v>
      </c>
      <c r="E62" s="687">
        <v>30</v>
      </c>
      <c r="F62" s="43" t="s">
        <v>1250</v>
      </c>
      <c r="AZ62" s="706" t="s">
        <v>843</v>
      </c>
      <c r="BE62" s="706">
        <v>2060</v>
      </c>
      <c r="BL62" s="754" t="s">
        <v>1261</v>
      </c>
    </row>
    <row r="63" spans="1:64" ht="11.25" customHeight="1">
      <c r="A63" s="43" t="s">
        <v>1262</v>
      </c>
      <c r="D63" s="705" t="s">
        <v>1263</v>
      </c>
      <c r="E63" s="687">
        <v>30</v>
      </c>
      <c r="F63" s="43" t="s">
        <v>1250</v>
      </c>
      <c r="AZ63" s="706" t="s">
        <v>874</v>
      </c>
      <c r="BE63" s="706">
        <v>2061</v>
      </c>
    </row>
    <row r="64" spans="1:64" ht="11.25" customHeight="1">
      <c r="A64" s="43" t="s">
        <v>1264</v>
      </c>
      <c r="D64" s="705" t="s">
        <v>1265</v>
      </c>
      <c r="E64" s="687">
        <v>30</v>
      </c>
      <c r="F64" s="43" t="s">
        <v>1250</v>
      </c>
      <c r="AZ64" s="706" t="s">
        <v>897</v>
      </c>
      <c r="BE64" s="706">
        <v>2062</v>
      </c>
    </row>
    <row r="65" spans="1:66" ht="11.25" customHeight="1">
      <c r="A65" s="43" t="s">
        <v>1266</v>
      </c>
      <c r="D65" s="43"/>
      <c r="BE65" s="706">
        <v>2063</v>
      </c>
    </row>
    <row r="66" spans="1:66" ht="11.25" customHeight="1">
      <c r="A66" s="43" t="s">
        <v>1267</v>
      </c>
      <c r="AZ66" s="671" t="s">
        <v>1268</v>
      </c>
      <c r="BE66" s="706">
        <v>2064</v>
      </c>
    </row>
    <row r="67" spans="1:66" ht="11.25" customHeight="1">
      <c r="A67" s="43" t="s">
        <v>1269</v>
      </c>
      <c r="AZ67" s="706" t="s">
        <v>781</v>
      </c>
      <c r="BE67" s="706">
        <v>2065</v>
      </c>
    </row>
    <row r="68" spans="1:66" ht="11.25" customHeight="1">
      <c r="A68" s="43" t="s">
        <v>1270</v>
      </c>
      <c r="AZ68" s="706" t="s">
        <v>809</v>
      </c>
      <c r="BE68" s="706">
        <v>2066</v>
      </c>
      <c r="BH68" s="671" t="s">
        <v>1271</v>
      </c>
      <c r="BJ68" s="671" t="s">
        <v>1272</v>
      </c>
      <c r="BL68" s="671" t="s">
        <v>1273</v>
      </c>
      <c r="BN68" s="671" t="s">
        <v>1274</v>
      </c>
    </row>
    <row r="69" spans="1:66" ht="11.25" customHeight="1">
      <c r="A69" s="43" t="s">
        <v>1275</v>
      </c>
      <c r="AZ69" s="706" t="s">
        <v>844</v>
      </c>
      <c r="BE69" s="706">
        <v>2067</v>
      </c>
      <c r="BH69" s="672" t="s">
        <v>1276</v>
      </c>
      <c r="BI69" s="78" t="s">
        <v>109</v>
      </c>
      <c r="BJ69" s="672" t="s">
        <v>1277</v>
      </c>
      <c r="BK69" s="78" t="s">
        <v>109</v>
      </c>
      <c r="BL69" s="672" t="s">
        <v>1278</v>
      </c>
      <c r="BN69" s="672" t="s">
        <v>1279</v>
      </c>
    </row>
    <row r="70" spans="1:66" ht="11.25" customHeight="1">
      <c r="A70" s="43" t="s">
        <v>1280</v>
      </c>
      <c r="AZ70" s="706" t="s">
        <v>875</v>
      </c>
      <c r="BE70" s="706">
        <v>2068</v>
      </c>
      <c r="BH70" s="672" t="s">
        <v>1281</v>
      </c>
      <c r="BJ70" s="672" t="s">
        <v>1282</v>
      </c>
      <c r="BL70" s="672" t="s">
        <v>1283</v>
      </c>
      <c r="BN70" s="672" t="s">
        <v>1284</v>
      </c>
    </row>
    <row r="71" spans="1:66" ht="11.25" customHeight="1">
      <c r="A71" s="43" t="s">
        <v>1285</v>
      </c>
      <c r="AZ71" s="706" t="s">
        <v>877</v>
      </c>
      <c r="BE71" s="706">
        <v>2069</v>
      </c>
      <c r="BH71" s="672" t="s">
        <v>1286</v>
      </c>
      <c r="BI71" s="78" t="s">
        <v>90</v>
      </c>
      <c r="BJ71" s="672" t="s">
        <v>1287</v>
      </c>
      <c r="BK71" s="78" t="s">
        <v>90</v>
      </c>
      <c r="BL71" s="672" t="s">
        <v>1288</v>
      </c>
      <c r="BN71" s="672" t="s">
        <v>1289</v>
      </c>
    </row>
    <row r="72" spans="1:66" ht="11.25" customHeight="1">
      <c r="A72" s="43" t="s">
        <v>1290</v>
      </c>
      <c r="AZ72" s="706" t="s">
        <v>57</v>
      </c>
      <c r="BE72" s="706">
        <v>2070</v>
      </c>
      <c r="BH72" s="672" t="s">
        <v>1291</v>
      </c>
      <c r="BJ72" s="672" t="s">
        <v>1291</v>
      </c>
      <c r="BL72" s="672" t="s">
        <v>1291</v>
      </c>
      <c r="BN72" s="672" t="s">
        <v>1292</v>
      </c>
    </row>
    <row r="73" spans="1:66" ht="11.25" customHeight="1">
      <c r="A73" s="43" t="s">
        <v>1293</v>
      </c>
      <c r="BH73" s="672" t="s">
        <v>1294</v>
      </c>
      <c r="BI73" s="78" t="s">
        <v>111</v>
      </c>
      <c r="BJ73" s="672" t="s">
        <v>1295</v>
      </c>
      <c r="BK73" s="78" t="s">
        <v>111</v>
      </c>
      <c r="BL73" s="672" t="s">
        <v>1296</v>
      </c>
      <c r="BN73" s="672" t="s">
        <v>1297</v>
      </c>
    </row>
    <row r="74" spans="1:66" ht="11.25" customHeight="1">
      <c r="A74" s="43" t="s">
        <v>1298</v>
      </c>
      <c r="BH74" s="672" t="s">
        <v>1299</v>
      </c>
      <c r="BJ74" s="672" t="s">
        <v>1300</v>
      </c>
      <c r="BL74" s="672" t="s">
        <v>1301</v>
      </c>
      <c r="BN74" s="672" t="s">
        <v>1302</v>
      </c>
    </row>
    <row r="75" spans="1:66" ht="11.25" customHeight="1">
      <c r="A75" s="43" t="s">
        <v>1303</v>
      </c>
      <c r="AZ75" s="671" t="s">
        <v>1304</v>
      </c>
      <c r="BH75" s="672" t="s">
        <v>1305</v>
      </c>
      <c r="BJ75" s="672" t="s">
        <v>1305</v>
      </c>
      <c r="BL75" s="672" t="s">
        <v>1305</v>
      </c>
    </row>
    <row r="76" spans="1:66" ht="11.25" customHeight="1">
      <c r="A76" s="43" t="s">
        <v>1306</v>
      </c>
      <c r="AZ76" s="706" t="s">
        <v>790</v>
      </c>
      <c r="BH76" s="672" t="s">
        <v>1307</v>
      </c>
      <c r="BJ76" s="672" t="s">
        <v>1308</v>
      </c>
      <c r="BL76" s="672" t="s">
        <v>1309</v>
      </c>
    </row>
    <row r="77" spans="1:66" ht="11.25" customHeight="1">
      <c r="A77" s="43" t="s">
        <v>1310</v>
      </c>
      <c r="AZ77" s="706" t="s">
        <v>819</v>
      </c>
    </row>
    <row r="78" spans="1:66" ht="11.25" customHeight="1">
      <c r="A78" s="43" t="s">
        <v>1311</v>
      </c>
      <c r="AZ78" s="706" t="s">
        <v>851</v>
      </c>
    </row>
    <row r="79" spans="1:66" ht="11.25" customHeight="1">
      <c r="A79" s="43" t="s">
        <v>1312</v>
      </c>
      <c r="AZ79" s="706" t="s">
        <v>881</v>
      </c>
      <c r="BH79" s="671" t="s">
        <v>1313</v>
      </c>
      <c r="BJ79" s="671" t="s">
        <v>1314</v>
      </c>
      <c r="BL79" s="671" t="s">
        <v>1315</v>
      </c>
    </row>
    <row r="80" spans="1:66" ht="11.25" customHeight="1">
      <c r="A80" s="43" t="s">
        <v>1316</v>
      </c>
      <c r="AZ80" s="706" t="s">
        <v>902</v>
      </c>
      <c r="BH80" s="672" t="s">
        <v>1317</v>
      </c>
      <c r="BJ80" s="672" t="s">
        <v>1318</v>
      </c>
      <c r="BL80" s="672" t="s">
        <v>1319</v>
      </c>
    </row>
    <row r="81" spans="1:66" ht="11.25" customHeight="1">
      <c r="A81" s="43" t="s">
        <v>1320</v>
      </c>
      <c r="AZ81" s="706" t="s">
        <v>919</v>
      </c>
      <c r="BH81" s="672" t="s">
        <v>1321</v>
      </c>
      <c r="BJ81" s="672" t="s">
        <v>1322</v>
      </c>
      <c r="BL81" s="672" t="s">
        <v>1323</v>
      </c>
    </row>
    <row r="82" spans="1:66" ht="11.25" customHeight="1">
      <c r="A82" s="43" t="s">
        <v>1324</v>
      </c>
      <c r="AZ82" s="706" t="s">
        <v>933</v>
      </c>
      <c r="BH82" s="672" t="s">
        <v>1325</v>
      </c>
      <c r="BJ82" s="672" t="s">
        <v>1326</v>
      </c>
      <c r="BL82" s="672" t="s">
        <v>1327</v>
      </c>
    </row>
    <row r="83" spans="1:66" ht="11.25" customHeight="1">
      <c r="A83" s="43" t="s">
        <v>1328</v>
      </c>
      <c r="BH83" s="672" t="s">
        <v>1329</v>
      </c>
      <c r="BJ83" s="672" t="s">
        <v>1330</v>
      </c>
      <c r="BL83" s="672" t="s">
        <v>1331</v>
      </c>
    </row>
    <row r="84" spans="1:66" ht="11.25" customHeight="1">
      <c r="A84" s="43" t="s">
        <v>1332</v>
      </c>
      <c r="AZ84" s="671" t="s">
        <v>1333</v>
      </c>
    </row>
    <row r="85" spans="1:66" ht="11.25" customHeight="1">
      <c r="A85" s="43" t="s">
        <v>1334</v>
      </c>
      <c r="AZ85" s="706" t="s">
        <v>1335</v>
      </c>
    </row>
    <row r="86" spans="1:66" ht="11.25" customHeight="1">
      <c r="A86" s="43" t="s">
        <v>1336</v>
      </c>
      <c r="AZ86" s="706" t="s">
        <v>1337</v>
      </c>
      <c r="BH86" s="671" t="s">
        <v>1338</v>
      </c>
      <c r="BJ86" s="671" t="s">
        <v>1339</v>
      </c>
      <c r="BL86" s="671" t="s">
        <v>1340</v>
      </c>
    </row>
    <row r="87" spans="1:66" ht="11.25" customHeight="1">
      <c r="A87" s="43" t="s">
        <v>1341</v>
      </c>
      <c r="AZ87" s="706" t="s">
        <v>1342</v>
      </c>
      <c r="BH87" s="672" t="s">
        <v>1343</v>
      </c>
      <c r="BJ87" s="672" t="s">
        <v>1344</v>
      </c>
      <c r="BL87" s="672" t="s">
        <v>1345</v>
      </c>
    </row>
    <row r="88" spans="1:66" ht="11.25" customHeight="1">
      <c r="AZ88"/>
      <c r="BH88" s="672" t="s">
        <v>1346</v>
      </c>
      <c r="BJ88" s="672" t="s">
        <v>1347</v>
      </c>
      <c r="BL88" s="672" t="s">
        <v>1348</v>
      </c>
    </row>
    <row r="89" spans="1:66" ht="11.25" customHeight="1">
      <c r="AZ89" s="671" t="s">
        <v>1349</v>
      </c>
    </row>
    <row r="90" spans="1:66" ht="11.25" customHeight="1">
      <c r="AZ90" s="706" t="s">
        <v>1220</v>
      </c>
    </row>
    <row r="91" spans="1:66" ht="11.25" customHeight="1">
      <c r="AZ91" s="706" t="s">
        <v>1350</v>
      </c>
      <c r="BH91" s="671" t="s">
        <v>1351</v>
      </c>
      <c r="BJ91" s="671" t="s">
        <v>1352</v>
      </c>
      <c r="BL91" s="671" t="s">
        <v>1353</v>
      </c>
    </row>
    <row r="92" spans="1:66" ht="11.25" customHeight="1">
      <c r="AZ92" s="706" t="s">
        <v>1354</v>
      </c>
      <c r="BH92" s="672" t="s">
        <v>1355</v>
      </c>
      <c r="BJ92" s="672" t="s">
        <v>1356</v>
      </c>
      <c r="BL92" s="672" t="s">
        <v>1357</v>
      </c>
    </row>
    <row r="93" spans="1:66" ht="11.25" customHeight="1">
      <c r="AZ93" s="706" t="s">
        <v>1358</v>
      </c>
      <c r="BH93" s="672" t="s">
        <v>1359</v>
      </c>
      <c r="BJ93" s="672" t="s">
        <v>1360</v>
      </c>
      <c r="BL93" s="672" t="s">
        <v>1361</v>
      </c>
    </row>
    <row r="94" spans="1:66" ht="11.25" customHeight="1">
      <c r="AZ94" s="706" t="s">
        <v>1362</v>
      </c>
    </row>
    <row r="96" spans="1:66" ht="11.25" customHeight="1">
      <c r="BH96" s="671" t="s">
        <v>1363</v>
      </c>
      <c r="BJ96" s="671" t="s">
        <v>1364</v>
      </c>
      <c r="BL96" s="671" t="s">
        <v>1365</v>
      </c>
      <c r="BN96" s="671" t="s">
        <v>1366</v>
      </c>
    </row>
    <row r="97" spans="60:66" ht="11.25" customHeight="1">
      <c r="BH97" s="672" t="s">
        <v>1367</v>
      </c>
      <c r="BJ97" s="672" t="s">
        <v>1368</v>
      </c>
      <c r="BL97" s="672" t="s">
        <v>1369</v>
      </c>
      <c r="BN97" s="672" t="s">
        <v>1370</v>
      </c>
    </row>
    <row r="98" spans="60:66" ht="11.25" customHeight="1">
      <c r="BH98" s="672" t="s">
        <v>1371</v>
      </c>
      <c r="BJ98" s="672" t="s">
        <v>1372</v>
      </c>
      <c r="BL98" s="672" t="s">
        <v>1373</v>
      </c>
      <c r="BN98" s="672" t="s">
        <v>1374</v>
      </c>
    </row>
    <row r="99" spans="60:66" ht="11.25" customHeight="1">
      <c r="BH99" s="672" t="s">
        <v>1375</v>
      </c>
      <c r="BJ99" s="672" t="s">
        <v>1376</v>
      </c>
      <c r="BL99" s="672" t="s">
        <v>1377</v>
      </c>
      <c r="BN99" s="672" t="s">
        <v>1378</v>
      </c>
    </row>
    <row r="100" spans="60:66" ht="11.25" customHeight="1">
      <c r="BJ100" s="672" t="s">
        <v>979</v>
      </c>
      <c r="BL100" s="672" t="s">
        <v>979</v>
      </c>
      <c r="BN100" s="672" t="s">
        <v>1379</v>
      </c>
    </row>
    <row r="101" spans="60:66" ht="11.25" customHeight="1">
      <c r="BN101" s="672" t="s">
        <v>1380</v>
      </c>
    </row>
    <row r="102" spans="60:66" ht="11.25" customHeight="1">
      <c r="BN102" s="672" t="s">
        <v>1381</v>
      </c>
    </row>
    <row r="103" spans="60:66" ht="11.25" customHeight="1">
      <c r="BN103" s="672" t="s">
        <v>1382</v>
      </c>
    </row>
    <row r="104" spans="60:66" ht="11.25" customHeight="1">
      <c r="BN104" s="672" t="s">
        <v>1383</v>
      </c>
    </row>
    <row r="107" spans="60:66" ht="11.25" customHeight="1">
      <c r="BH107" s="671" t="s">
        <v>1384</v>
      </c>
      <c r="BJ107" s="671" t="s">
        <v>1385</v>
      </c>
      <c r="BL107" s="671" t="s">
        <v>1386</v>
      </c>
      <c r="BN107" s="671" t="s">
        <v>1387</v>
      </c>
    </row>
    <row r="108" spans="60:66" ht="11.25" customHeight="1">
      <c r="BH108" s="672" t="s">
        <v>1388</v>
      </c>
      <c r="BJ108" s="672" t="s">
        <v>1389</v>
      </c>
      <c r="BL108" s="672" t="s">
        <v>1390</v>
      </c>
      <c r="BN108" s="672" t="s">
        <v>1391</v>
      </c>
    </row>
    <row r="109" spans="60:66" ht="11.25" customHeight="1">
      <c r="BH109" s="672" t="s">
        <v>1392</v>
      </c>
    </row>
    <row r="110" spans="60:66" ht="11.25" customHeight="1">
      <c r="BH110" s="672" t="s">
        <v>1392</v>
      </c>
    </row>
    <row r="114" spans="60:60" ht="11.25" customHeight="1">
      <c r="BH114" s="671" t="s">
        <v>1393</v>
      </c>
    </row>
    <row r="115" spans="60:60" ht="11.25" customHeight="1">
      <c r="BH115" s="672" t="s">
        <v>777</v>
      </c>
    </row>
    <row r="116" spans="60:60" ht="11.25" customHeight="1">
      <c r="BH116" s="672" t="s">
        <v>805</v>
      </c>
    </row>
    <row r="117" spans="60:60" ht="11.25" customHeight="1">
      <c r="BH117" s="672" t="s">
        <v>840</v>
      </c>
    </row>
    <row r="118" spans="60:60" ht="11.25" customHeight="1">
      <c r="BH118" s="672" t="s">
        <v>872</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A7DE76-D859-9FA8-B78A-32FEDBEB2E5A}">
  <sheetPr>
    <tabColor rgb="FFFFCC99"/>
  </sheetPr>
  <dimension ref="A1:GB203"/>
  <sheetViews>
    <sheetView showGridLines="0" zoomScale="85" workbookViewId="0"/>
  </sheetViews>
  <sheetFormatPr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1" spans="1:80" ht="17.25" customHeight="1"/>
    <row r="2" spans="1:80" s="23" customFormat="1" ht="17.25" customHeight="1">
      <c r="A2" s="23" t="s">
        <v>1394</v>
      </c>
    </row>
    <row r="3" spans="1:80" ht="17.25" customHeight="1"/>
    <row r="4" spans="1:80" s="9" customFormat="1" ht="15" customHeight="1">
      <c r="C4" s="29"/>
      <c r="D4" s="53"/>
      <c r="E4" s="233"/>
    </row>
    <row r="6" spans="1:80" s="23" customFormat="1" ht="17.25" customHeight="1">
      <c r="A6" s="23" t="s">
        <v>1395</v>
      </c>
    </row>
    <row r="8" spans="1:80" s="9" customFormat="1" ht="17.25" customHeight="1">
      <c r="C8" s="30"/>
      <c r="D8" s="53"/>
      <c r="E8" s="46"/>
    </row>
    <row r="10" spans="1:80" ht="17.25" customHeight="1"/>
    <row r="11" spans="1:80" s="23" customFormat="1" ht="17.25" customHeight="1">
      <c r="A11" s="23" t="s">
        <v>1396</v>
      </c>
    </row>
    <row r="12" spans="1:80" ht="17.25" customHeight="1"/>
    <row r="13" spans="1:80" s="55" customFormat="1" ht="14.25" customHeight="1">
      <c r="A13" s="1231">
        <v>1</v>
      </c>
      <c r="B13" s="72"/>
      <c r="C13" s="496" t="s">
        <v>1109</v>
      </c>
      <c r="D13" s="86"/>
      <c r="E13" s="50">
        <f>A13</f>
        <v>1</v>
      </c>
      <c r="F13" s="498"/>
      <c r="G13" s="330" t="str">
        <f>"Территория "&amp;E13</f>
        <v>Территория 1</v>
      </c>
      <c r="H13" s="488"/>
      <c r="I13" s="488"/>
      <c r="J13" s="79"/>
      <c r="K13" s="79"/>
      <c r="L13" s="79"/>
      <c r="M13" s="79"/>
      <c r="N13" s="79"/>
      <c r="O13" s="79"/>
      <c r="P13" s="131"/>
      <c r="Q13" s="131"/>
      <c r="R13" s="131"/>
      <c r="S13" s="131"/>
    </row>
    <row r="14" spans="1:80" ht="15" customHeight="1">
      <c r="A14" s="1231"/>
      <c r="B14" s="72">
        <v>1</v>
      </c>
      <c r="C14" s="72"/>
      <c r="D14" s="495" t="s">
        <v>1109</v>
      </c>
      <c r="E14" s="480" t="str">
        <f>A13&amp;"."&amp;B14</f>
        <v>1.1</v>
      </c>
      <c r="F14" s="497">
        <f>$F$16</f>
        <v>0</v>
      </c>
      <c r="G14" s="489"/>
      <c r="H14" s="489"/>
      <c r="I14" s="487"/>
      <c r="J14" s="79" t="e">
        <f ca="1">MERGEVALUE(G14)</f>
        <v>#NAME?</v>
      </c>
      <c r="K14" s="77"/>
      <c r="L14" s="77"/>
      <c r="M14" s="79" t="str">
        <f t="array" ref="M14">IF(ISERROR(MATCH(MID(N14,1,250),MID(note_ter,1,250),0)),"n","y")</f>
        <v>n</v>
      </c>
      <c r="N14" s="77"/>
      <c r="O14" s="79" t="str">
        <f>H14&amp;"("&amp;I14&amp;")"</f>
        <v>()</v>
      </c>
      <c r="P14" s="72"/>
      <c r="Q14" s="72"/>
      <c r="R14" s="258"/>
      <c r="S14" s="72"/>
      <c r="T14" s="72"/>
      <c r="U14" s="72"/>
      <c r="V14" s="71"/>
      <c r="W14" s="71"/>
      <c r="X14" s="111"/>
      <c r="Y14" s="111"/>
      <c r="Z14" s="111"/>
      <c r="AA14" s="111"/>
      <c r="AB14" s="111"/>
      <c r="AC14" s="111"/>
      <c r="AD14" s="111"/>
      <c r="AE14" s="111"/>
      <c r="AF14" s="111"/>
      <c r="AG14" s="111"/>
      <c r="AH14" s="111"/>
      <c r="AI14" s="111"/>
      <c r="AJ14" s="111"/>
      <c r="AK14" s="111"/>
      <c r="AL14" s="111"/>
      <c r="AM14" s="111"/>
      <c r="AN14" s="111"/>
      <c r="AO14" s="111"/>
      <c r="AP14" s="111"/>
      <c r="AQ14" s="111"/>
      <c r="AR14" s="111"/>
      <c r="AS14" s="111"/>
      <c r="AT14" s="111"/>
      <c r="AU14" s="111"/>
      <c r="AV14" s="111"/>
      <c r="AW14" s="111"/>
      <c r="AX14" s="111"/>
      <c r="AY14" s="111"/>
      <c r="AZ14" s="111"/>
      <c r="BA14" s="111"/>
      <c r="BB14" s="111"/>
      <c r="BC14" s="111"/>
      <c r="BD14" s="111"/>
      <c r="BE14" s="111"/>
      <c r="BF14" s="111"/>
      <c r="BG14" s="111"/>
      <c r="BH14" s="111"/>
      <c r="BI14" s="111"/>
      <c r="BJ14" s="111"/>
      <c r="BK14" s="111"/>
      <c r="BL14" s="111"/>
      <c r="BM14" s="111"/>
      <c r="BN14" s="111"/>
      <c r="BO14" s="111"/>
      <c r="BP14" s="111"/>
      <c r="BQ14" s="111"/>
      <c r="BR14" s="111"/>
      <c r="BS14" s="71"/>
      <c r="BT14" s="71"/>
      <c r="BU14" s="71"/>
      <c r="BV14" s="71"/>
      <c r="BW14" s="71"/>
      <c r="BX14" s="71"/>
      <c r="BY14" s="71"/>
      <c r="BZ14" s="71"/>
      <c r="CA14" s="71"/>
      <c r="CB14" s="71"/>
    </row>
    <row r="15" spans="1:80" ht="15" customHeight="1">
      <c r="A15" s="1231"/>
      <c r="B15" s="72"/>
      <c r="C15" s="257"/>
      <c r="D15" s="496"/>
      <c r="E15" s="259"/>
      <c r="F15" s="97"/>
      <c r="G15" s="116" t="s">
        <v>102</v>
      </c>
      <c r="H15" s="105"/>
      <c r="I15" s="260"/>
      <c r="J15" s="77"/>
      <c r="K15" s="77"/>
      <c r="L15" s="77"/>
      <c r="M15" s="77"/>
      <c r="N15" s="79"/>
      <c r="O15" s="77"/>
      <c r="P15" s="72"/>
      <c r="Q15" s="72"/>
      <c r="R15" s="258"/>
      <c r="S15" s="72"/>
      <c r="T15" s="72"/>
      <c r="U15" s="72"/>
      <c r="V15" s="71"/>
      <c r="W15" s="71"/>
      <c r="X15" s="111"/>
      <c r="Y15" s="111"/>
      <c r="Z15" s="111"/>
      <c r="AA15" s="111"/>
      <c r="AB15" s="111"/>
      <c r="AC15" s="111"/>
      <c r="AD15" s="111"/>
      <c r="AE15" s="111"/>
      <c r="AF15" s="111"/>
      <c r="AG15" s="111"/>
      <c r="AH15" s="111"/>
      <c r="AI15" s="111"/>
      <c r="AJ15" s="111"/>
      <c r="AK15" s="111"/>
      <c r="AL15" s="111"/>
      <c r="AM15" s="111"/>
      <c r="AN15" s="111"/>
      <c r="AO15" s="111"/>
      <c r="AP15" s="111"/>
      <c r="AQ15" s="111"/>
      <c r="AR15" s="111"/>
      <c r="AS15" s="111"/>
      <c r="AT15" s="111"/>
      <c r="AU15" s="111"/>
      <c r="AV15" s="111"/>
      <c r="AW15" s="111"/>
      <c r="AX15" s="111"/>
      <c r="AY15" s="111"/>
      <c r="AZ15" s="111"/>
      <c r="BA15" s="111"/>
      <c r="BB15" s="111"/>
      <c r="BC15" s="111"/>
      <c r="BD15" s="111"/>
      <c r="BE15" s="111"/>
      <c r="BF15" s="111"/>
      <c r="BG15" s="111"/>
      <c r="BH15" s="111"/>
      <c r="BI15" s="111"/>
      <c r="BJ15" s="111"/>
      <c r="BK15" s="111"/>
      <c r="BL15" s="111"/>
      <c r="BM15" s="111"/>
      <c r="BN15" s="111"/>
      <c r="BO15" s="111"/>
      <c r="BP15" s="111"/>
      <c r="BQ15" s="111"/>
      <c r="BR15" s="111"/>
      <c r="BS15" s="71"/>
      <c r="BT15" s="71"/>
      <c r="BU15" s="71"/>
      <c r="BV15" s="71"/>
      <c r="BW15" s="71"/>
      <c r="BX15" s="71"/>
      <c r="BY15" s="71"/>
      <c r="BZ15" s="71"/>
      <c r="CA15" s="71"/>
      <c r="CB15" s="71"/>
    </row>
    <row r="16" spans="1:80" ht="17.25" customHeight="1"/>
    <row r="17" spans="1:38" ht="15" customHeight="1">
      <c r="A17" s="23" t="s">
        <v>1397</v>
      </c>
      <c r="B17" s="23"/>
      <c r="C17" s="23"/>
      <c r="D17" s="23"/>
      <c r="E17" s="23"/>
      <c r="F17" s="23"/>
      <c r="G17" s="23"/>
      <c r="H17" s="23"/>
      <c r="I17" s="23"/>
      <c r="J17" s="23"/>
      <c r="K17" s="23"/>
      <c r="L17" s="23"/>
      <c r="M17" s="23"/>
      <c r="N17" s="23"/>
      <c r="O17" s="23"/>
      <c r="P17" s="23"/>
      <c r="Q17" s="23"/>
      <c r="R17" s="23"/>
      <c r="S17" s="23"/>
      <c r="T17" s="23"/>
      <c r="U17" s="103"/>
      <c r="V17" s="23"/>
      <c r="W17" s="23"/>
    </row>
    <row r="18" spans="1:38" ht="15" customHeight="1">
      <c r="U18" s="104"/>
    </row>
    <row r="19" spans="1:38" s="44" customFormat="1" ht="15" customHeight="1">
      <c r="A19"/>
      <c r="B19"/>
      <c r="C19" s="983" t="s">
        <v>1109</v>
      </c>
      <c r="D19" s="1134" t="s">
        <v>109</v>
      </c>
      <c r="E19" s="1291"/>
      <c r="F19" s="1133" t="s">
        <v>57</v>
      </c>
      <c r="G19" s="1292"/>
      <c r="H19" s="1123">
        <v>1</v>
      </c>
      <c r="I19" s="1294" t="str">
        <f>IF(U19="","",INDEX(TERRITORY_MR_LIST,MATCH(U19,TERRITORY_LIST_ID,0)))</f>
        <v/>
      </c>
      <c r="J19" s="1133" t="s">
        <v>57</v>
      </c>
      <c r="K19" s="509"/>
      <c r="L19" s="52" t="s">
        <v>109</v>
      </c>
      <c r="M19" s="377"/>
      <c r="N19" s="91"/>
      <c r="O19" s="91"/>
      <c r="P19" s="91"/>
      <c r="Q19" s="91"/>
      <c r="R19" s="91"/>
      <c r="S19" s="91"/>
      <c r="T19" s="91"/>
      <c r="U19" s="378"/>
      <c r="V19" s="91"/>
      <c r="W19" s="91"/>
      <c r="X19" s="91"/>
      <c r="Y19" s="91" t="s">
        <v>119</v>
      </c>
      <c r="Z19" s="91">
        <v>1705000</v>
      </c>
      <c r="AA19" s="91"/>
      <c r="AB19" s="91"/>
      <c r="AC19" s="91"/>
      <c r="AD19" s="91"/>
      <c r="AE19" s="91"/>
      <c r="AF19" s="91"/>
      <c r="AG19" s="91"/>
      <c r="AH19" s="91"/>
      <c r="AI19" s="91"/>
      <c r="AJ19" s="91"/>
      <c r="AK19" s="91"/>
      <c r="AL19" s="91"/>
    </row>
    <row r="20" spans="1:38" s="44" customFormat="1" ht="15" customHeight="1">
      <c r="A20"/>
      <c r="B20"/>
      <c r="C20" s="96"/>
      <c r="D20" s="1134"/>
      <c r="E20" s="1291"/>
      <c r="F20" s="1133"/>
      <c r="G20" s="1293"/>
      <c r="H20" s="1123"/>
      <c r="I20" s="1295"/>
      <c r="J20" s="1133"/>
      <c r="K20" s="259"/>
      <c r="L20" s="97"/>
      <c r="M20" s="379" t="s">
        <v>120</v>
      </c>
      <c r="N20" s="91"/>
      <c r="O20" s="91"/>
      <c r="P20" s="91"/>
      <c r="Q20" s="91"/>
      <c r="R20" s="91"/>
      <c r="S20" s="91"/>
      <c r="T20" s="91"/>
      <c r="U20" s="378"/>
      <c r="V20" s="91"/>
      <c r="W20" s="91"/>
      <c r="X20" s="91"/>
      <c r="Y20" s="91"/>
      <c r="Z20" s="91"/>
      <c r="AA20" s="91"/>
      <c r="AB20" s="91"/>
      <c r="AC20" s="91"/>
      <c r="AD20" s="91"/>
      <c r="AE20" s="91"/>
      <c r="AF20" s="91"/>
      <c r="AG20" s="91"/>
      <c r="AH20" s="91"/>
      <c r="AI20" s="91"/>
      <c r="AJ20" s="91"/>
      <c r="AK20" s="91"/>
      <c r="AL20" s="91"/>
    </row>
    <row r="21" spans="1:38" s="44" customFormat="1" ht="15" customHeight="1">
      <c r="A21"/>
      <c r="B21"/>
      <c r="C21" s="96"/>
      <c r="D21" s="1134"/>
      <c r="E21" s="1291"/>
      <c r="F21" s="1133"/>
      <c r="G21" s="259"/>
      <c r="H21" s="97"/>
      <c r="I21" s="116" t="s">
        <v>121</v>
      </c>
      <c r="J21" s="97"/>
      <c r="K21" s="97"/>
      <c r="L21" s="97"/>
      <c r="M21" s="380"/>
      <c r="N21" s="91"/>
      <c r="O21" s="91"/>
      <c r="P21" s="91"/>
      <c r="Q21" s="91"/>
      <c r="R21" s="91"/>
      <c r="S21" s="91"/>
      <c r="T21" s="91"/>
      <c r="U21" s="378"/>
      <c r="V21" s="91"/>
      <c r="W21" s="91"/>
      <c r="X21" s="91"/>
      <c r="Y21" s="91"/>
      <c r="Z21" s="91"/>
      <c r="AA21" s="91"/>
      <c r="AB21" s="91"/>
      <c r="AC21" s="91"/>
      <c r="AD21" s="91"/>
      <c r="AE21" s="91"/>
      <c r="AF21" s="91"/>
      <c r="AG21" s="91"/>
      <c r="AH21" s="91"/>
      <c r="AI21" s="91"/>
      <c r="AJ21" s="91"/>
      <c r="AK21" s="91"/>
      <c r="AL21" s="91"/>
    </row>
    <row r="22" spans="1:38" ht="15" customHeight="1">
      <c r="U22" s="104"/>
    </row>
    <row r="23" spans="1:38" ht="15" customHeight="1">
      <c r="A23" s="23" t="s">
        <v>1398</v>
      </c>
      <c r="B23" s="23"/>
      <c r="C23" s="23"/>
      <c r="D23" s="23"/>
      <c r="E23" s="23"/>
      <c r="F23" s="23"/>
      <c r="G23" s="23"/>
      <c r="H23" s="23"/>
      <c r="I23" s="23"/>
      <c r="J23" s="23"/>
      <c r="K23" s="23"/>
      <c r="L23" s="23"/>
      <c r="M23" s="23"/>
      <c r="N23" s="23"/>
      <c r="O23" s="23"/>
      <c r="P23" s="23"/>
      <c r="Q23" s="23"/>
      <c r="R23" s="23"/>
      <c r="S23" s="23"/>
      <c r="T23" s="23"/>
      <c r="U23" s="103"/>
      <c r="V23" s="23"/>
      <c r="W23" s="23"/>
    </row>
    <row r="24" spans="1:38" ht="15" customHeight="1">
      <c r="U24" s="104"/>
    </row>
    <row r="25" spans="1:38" s="44" customFormat="1" ht="15" customHeight="1">
      <c r="A25"/>
      <c r="B25"/>
      <c r="C25" s="96"/>
      <c r="D25" s="464"/>
      <c r="E25" s="464"/>
      <c r="F25" s="464"/>
      <c r="G25" s="1296" t="s">
        <v>1109</v>
      </c>
      <c r="H25" s="1104">
        <v>1</v>
      </c>
      <c r="I25" s="1297" t="str">
        <f>IF(U25="","",INDEX(TERRITORY_MR_LIST,MATCH(U25,TERRITORY_LIST_ID,0)))</f>
        <v/>
      </c>
      <c r="J25" s="1133" t="s">
        <v>57</v>
      </c>
      <c r="K25" s="509"/>
      <c r="L25" s="52" t="s">
        <v>109</v>
      </c>
      <c r="M25" s="377"/>
      <c r="N25" s="91"/>
      <c r="O25" s="91"/>
      <c r="P25" s="91"/>
      <c r="Q25" s="91"/>
      <c r="R25" s="91"/>
      <c r="S25" s="91"/>
      <c r="T25" s="91"/>
      <c r="U25" s="378"/>
      <c r="V25" s="91"/>
      <c r="W25" s="91"/>
      <c r="X25" s="91"/>
      <c r="Y25" s="91" t="s">
        <v>119</v>
      </c>
      <c r="Z25" s="91">
        <v>1705000</v>
      </c>
      <c r="AA25" s="91"/>
      <c r="AB25" s="91"/>
      <c r="AC25" s="91"/>
      <c r="AD25" s="91"/>
      <c r="AE25" s="91"/>
      <c r="AF25" s="91"/>
      <c r="AG25" s="91"/>
      <c r="AH25" s="91"/>
      <c r="AI25" s="91"/>
      <c r="AJ25" s="91"/>
      <c r="AK25" s="91"/>
      <c r="AL25" s="91"/>
    </row>
    <row r="26" spans="1:38" s="44" customFormat="1" ht="15" customHeight="1">
      <c r="A26"/>
      <c r="B26"/>
      <c r="C26" s="96"/>
      <c r="D26" s="464"/>
      <c r="E26" s="464"/>
      <c r="F26" s="464"/>
      <c r="G26" s="1296"/>
      <c r="H26" s="1104"/>
      <c r="I26" s="1297"/>
      <c r="J26" s="1133"/>
      <c r="K26" s="259"/>
      <c r="L26" s="97"/>
      <c r="M26" s="379" t="s">
        <v>120</v>
      </c>
      <c r="N26" s="91"/>
      <c r="O26" s="91"/>
      <c r="P26" s="91"/>
      <c r="Q26" s="91"/>
      <c r="R26" s="91"/>
      <c r="S26" s="91"/>
      <c r="T26" s="91"/>
      <c r="U26" s="378"/>
      <c r="V26" s="91"/>
      <c r="W26" s="91"/>
      <c r="X26" s="91"/>
      <c r="Y26" s="91"/>
      <c r="Z26" s="91"/>
      <c r="AA26" s="91"/>
      <c r="AB26" s="91"/>
      <c r="AC26" s="91"/>
      <c r="AD26" s="91"/>
      <c r="AE26" s="91"/>
      <c r="AF26" s="91"/>
      <c r="AG26" s="91"/>
      <c r="AH26" s="91"/>
      <c r="AI26" s="91"/>
      <c r="AJ26" s="91"/>
      <c r="AK26" s="91"/>
      <c r="AL26" s="91"/>
    </row>
    <row r="27" spans="1:38" ht="15" customHeight="1">
      <c r="U27" s="104"/>
    </row>
    <row r="28" spans="1:38" ht="15" customHeight="1">
      <c r="A28" s="23" t="s">
        <v>1399</v>
      </c>
      <c r="B28" s="23"/>
      <c r="C28" s="23"/>
      <c r="D28" s="23"/>
      <c r="E28" s="23"/>
      <c r="F28" s="23"/>
      <c r="G28" s="23"/>
      <c r="H28" s="23"/>
      <c r="I28" s="23"/>
      <c r="J28" s="23"/>
      <c r="K28" s="23"/>
      <c r="L28" s="23"/>
      <c r="M28" s="23"/>
      <c r="N28" s="23"/>
      <c r="O28" s="23"/>
      <c r="P28" s="23"/>
      <c r="Q28" s="23"/>
      <c r="R28" s="23"/>
      <c r="S28" s="23"/>
      <c r="T28" s="23"/>
      <c r="U28" s="103"/>
      <c r="V28" s="23"/>
      <c r="W28" s="23"/>
    </row>
    <row r="29" spans="1:38" ht="15" customHeight="1">
      <c r="U29" s="104"/>
    </row>
    <row r="30" spans="1:38" s="44" customFormat="1" ht="15" customHeight="1">
      <c r="A30"/>
      <c r="B30"/>
      <c r="C30" s="96"/>
      <c r="D30" s="464"/>
      <c r="E30" s="464"/>
      <c r="F30" s="464"/>
      <c r="G30" s="464"/>
      <c r="H30" s="464"/>
      <c r="I30" s="464"/>
      <c r="J30" s="464"/>
      <c r="K30" s="985" t="s">
        <v>1109</v>
      </c>
      <c r="L30" s="984" t="s">
        <v>109</v>
      </c>
      <c r="M30" s="499"/>
      <c r="N30" s="500"/>
      <c r="O30" s="91"/>
      <c r="P30" s="91"/>
      <c r="Q30" s="91"/>
      <c r="R30" s="91"/>
      <c r="S30" s="91"/>
      <c r="T30" s="91"/>
      <c r="U30" s="378"/>
      <c r="V30" s="91"/>
      <c r="W30" s="91"/>
      <c r="X30" s="91"/>
      <c r="Y30" s="91" t="s">
        <v>119</v>
      </c>
      <c r="Z30" s="91">
        <v>1705000</v>
      </c>
      <c r="AA30" s="91"/>
      <c r="AB30" s="91"/>
      <c r="AC30" s="91"/>
      <c r="AD30" s="91"/>
      <c r="AE30" s="91"/>
      <c r="AF30" s="91"/>
      <c r="AG30" s="91"/>
      <c r="AH30" s="91"/>
      <c r="AI30" s="91"/>
      <c r="AJ30" s="91"/>
      <c r="AK30" s="91"/>
      <c r="AL30" s="91"/>
    </row>
    <row r="31" spans="1:38" ht="15" customHeight="1">
      <c r="U31" s="104"/>
    </row>
    <row r="32" spans="1:38" ht="15" customHeight="1">
      <c r="U32" s="104"/>
    </row>
    <row r="33" spans="1:45" s="23" customFormat="1" ht="11.25" customHeight="1">
      <c r="A33" s="23" t="s">
        <v>1400</v>
      </c>
    </row>
    <row r="34" spans="1:45" ht="11.25" customHeight="1"/>
    <row r="35" spans="1:45" s="277" customFormat="1" ht="22.5" customHeight="1">
      <c r="A35" s="530"/>
      <c r="B35" s="25"/>
      <c r="C35" s="531"/>
      <c r="D35" s="270"/>
      <c r="E35" s="532"/>
      <c r="F35" s="533"/>
      <c r="G35" s="464"/>
      <c r="H35" s="293"/>
    </row>
    <row r="36" spans="1:45" ht="11.25" customHeight="1"/>
    <row r="37" spans="1:45" s="23" customFormat="1" ht="11.25" customHeight="1">
      <c r="A37" s="23" t="s">
        <v>1401</v>
      </c>
    </row>
    <row r="38" spans="1:45" ht="11.25" customHeight="1"/>
    <row r="39" spans="1:45" s="277" customFormat="1" ht="22.5" customHeight="1">
      <c r="A39" s="25"/>
      <c r="B39" s="25"/>
      <c r="C39" s="25"/>
      <c r="D39" s="270"/>
      <c r="E39" s="532"/>
      <c r="F39" s="427"/>
      <c r="G39" s="464"/>
      <c r="H39" s="293"/>
    </row>
    <row r="40" spans="1:45" ht="17.25" customHeight="1"/>
    <row r="41" spans="1:45" ht="17.25" customHeight="1"/>
    <row r="42" spans="1:45" s="23" customFormat="1" ht="17.25" customHeight="1">
      <c r="A42" s="23" t="s">
        <v>1402</v>
      </c>
    </row>
    <row r="43" spans="1:45" ht="17.25" customHeight="1"/>
    <row r="44" spans="1:45" s="298" customFormat="1" ht="18.75" customHeight="1">
      <c r="A44"/>
      <c r="B44" s="43"/>
      <c r="C44" s="43"/>
      <c r="D44" s="537"/>
      <c r="E44" s="508"/>
      <c r="F44" s="539">
        <v>13</v>
      </c>
      <c r="G44" s="538"/>
      <c r="H44" s="489"/>
      <c r="I44" s="487"/>
      <c r="J44" s="321" t="s">
        <v>67</v>
      </c>
      <c r="K44" s="122" t="s">
        <v>17</v>
      </c>
      <c r="L44"/>
      <c r="M44" s="77"/>
      <c r="N44" s="77"/>
      <c r="O44" s="77"/>
      <c r="P44" s="318" t="s">
        <v>386</v>
      </c>
      <c r="Q44" s="318" t="s">
        <v>387</v>
      </c>
      <c r="R44" s="319" t="s">
        <v>388</v>
      </c>
      <c r="S44" s="77" t="s">
        <v>389</v>
      </c>
      <c r="T44" s="77"/>
      <c r="U44" s="77"/>
      <c r="V44" s="77"/>
    </row>
    <row r="45" spans="1:45" ht="17.25" customHeight="1"/>
    <row r="46" spans="1:45" s="23" customFormat="1" ht="11.25" customHeight="1">
      <c r="A46" s="23" t="s">
        <v>1403</v>
      </c>
    </row>
    <row r="47" spans="1:45" ht="17.25" customHeight="1"/>
    <row r="48" spans="1:45" s="24" customFormat="1" ht="14.25" customHeight="1">
      <c r="C48" s="29"/>
      <c r="D48" s="265"/>
      <c r="E48" s="548"/>
      <c r="F48" s="527"/>
      <c r="G48" s="528"/>
      <c r="H48" s="264"/>
      <c r="I48" s="264"/>
      <c r="J48" s="264"/>
      <c r="K48" s="263"/>
      <c r="L48" s="262"/>
      <c r="M48" s="263"/>
      <c r="N48" s="264"/>
      <c r="O48" s="263"/>
      <c r="P48" s="264"/>
      <c r="Q48" s="263"/>
      <c r="R48" s="264"/>
      <c r="S48" s="526"/>
      <c r="T48" s="264"/>
      <c r="U48" s="264"/>
      <c r="V48" s="264"/>
      <c r="W48" s="507"/>
      <c r="X48" s="264"/>
      <c r="Y48" s="264"/>
      <c r="Z48" s="264"/>
      <c r="AA48" s="507"/>
      <c r="AB48" s="264"/>
      <c r="AC48" s="264"/>
      <c r="AD48" s="507"/>
      <c r="AE48"/>
      <c r="AF48"/>
      <c r="AG48"/>
      <c r="AH48"/>
      <c r="AJ48" s="77"/>
      <c r="AK48" s="77"/>
      <c r="AL48" s="77"/>
      <c r="AM48" s="77"/>
      <c r="AN48" s="77"/>
      <c r="AO48" s="77"/>
      <c r="AP48" s="79" t="s">
        <v>375</v>
      </c>
      <c r="AQ48" s="79" t="s">
        <v>375</v>
      </c>
      <c r="AR48" s="77"/>
      <c r="AS48" s="77"/>
    </row>
    <row r="49" spans="1:30" ht="17.25" customHeight="1"/>
    <row r="50" spans="1:30" s="23" customFormat="1" ht="11.25" customHeight="1">
      <c r="A50" s="23" t="s">
        <v>1404</v>
      </c>
    </row>
    <row r="51" spans="1:30" ht="17.25" customHeight="1"/>
    <row r="52" spans="1:30" s="43" customFormat="1" ht="14.25" customHeight="1">
      <c r="A52" s="71" t="s">
        <v>90</v>
      </c>
      <c r="B52" s="43" t="s">
        <v>17</v>
      </c>
      <c r="C52" s="60"/>
      <c r="D52" s="52"/>
      <c r="E52" s="233"/>
      <c r="F52" s="233"/>
      <c r="G52" s="990"/>
      <c r="H52" s="122"/>
      <c r="I52" s="393"/>
      <c r="K52" s="166"/>
      <c r="L52" s="111"/>
    </row>
    <row r="53" spans="1:30" ht="17.25" customHeight="1"/>
    <row r="54" spans="1:30" s="23" customFormat="1" ht="11.25" customHeight="1">
      <c r="A54" s="23" t="s">
        <v>1405</v>
      </c>
    </row>
    <row r="55" spans="1:30" ht="17.25" customHeight="1"/>
    <row r="56" spans="1:30" s="24" customFormat="1" ht="14.25" customHeight="1">
      <c r="A56" s="43"/>
      <c r="B56" s="72"/>
      <c r="C56" s="36"/>
      <c r="D56" s="73"/>
      <c r="E56" s="1042"/>
      <c r="F56" s="122"/>
      <c r="G56"/>
      <c r="I56" s="79"/>
      <c r="J56" s="79"/>
    </row>
    <row r="57" spans="1:30" ht="17.25" customHeight="1"/>
    <row r="58" spans="1:30" s="23" customFormat="1" ht="11.25" customHeight="1">
      <c r="A58" s="23" t="s">
        <v>1406</v>
      </c>
    </row>
    <row r="59" spans="1:30" ht="17.25" customHeight="1"/>
    <row r="60" spans="1:30" s="24" customFormat="1" ht="27" customHeight="1">
      <c r="A60" s="328"/>
      <c r="B60" s="328"/>
      <c r="C60" s="328"/>
      <c r="D60" s="72"/>
      <c r="E60" s="732"/>
      <c r="F60" s="1250"/>
      <c r="G60" s="1251"/>
      <c r="H60" s="1252" t="s">
        <v>67</v>
      </c>
      <c r="I60" s="1254"/>
      <c r="J60" s="1256"/>
      <c r="K60" s="1258"/>
      <c r="L60" s="1261"/>
      <c r="M60" s="1261"/>
      <c r="N60" s="1300"/>
      <c r="O60" s="1300"/>
      <c r="P60" s="1301" t="e">
        <f>DATEDIF(DATEVALUE(N60),DATEVALUE(O60),"y")&amp;"г. "&amp;DATEDIF(DATEVALUE(N60),DATEVALUE(O60),"ym")&amp;"мес. "&amp;DATEVALUE(O60)-DATE(YEAR(DATEVALUE(O60)),MONTH(DATEVALUE(O60)),1)&amp;"дн. "</f>
        <v>#VALUE!</v>
      </c>
      <c r="Q60" s="1263"/>
      <c r="R60" s="1263"/>
      <c r="S60" s="1263"/>
      <c r="T60" s="1256"/>
      <c r="U60" s="1263"/>
      <c r="V60" s="1263"/>
      <c r="W60" s="1263"/>
      <c r="X60" s="1256"/>
      <c r="Y60" s="1298" t="s">
        <v>67</v>
      </c>
      <c r="Z60" s="731"/>
      <c r="AA60" s="50">
        <v>1</v>
      </c>
      <c r="AB60" s="765"/>
      <c r="AD60" s="77" t="s">
        <v>1407</v>
      </c>
    </row>
    <row r="61" spans="1:30" s="24" customFormat="1" ht="10.5" customHeight="1">
      <c r="A61" s="328"/>
      <c r="B61" s="328"/>
      <c r="C61" s="328"/>
      <c r="D61" s="72"/>
      <c r="E61" s="585"/>
      <c r="F61" s="1250"/>
      <c r="G61" s="1251"/>
      <c r="H61" s="1253"/>
      <c r="I61" s="1255"/>
      <c r="J61" s="1257"/>
      <c r="K61" s="1258"/>
      <c r="L61" s="1261"/>
      <c r="M61" s="1261"/>
      <c r="N61" s="1300"/>
      <c r="O61" s="1300"/>
      <c r="P61" s="1301"/>
      <c r="Q61" s="1263"/>
      <c r="R61" s="1263"/>
      <c r="S61" s="1263"/>
      <c r="T61" s="1257"/>
      <c r="U61" s="1263"/>
      <c r="V61" s="1263"/>
      <c r="W61" s="1263"/>
      <c r="X61" s="1257"/>
      <c r="Y61" s="1299"/>
      <c r="Z61" s="49"/>
      <c r="AA61" s="360"/>
      <c r="AB61" s="379" t="s">
        <v>1408</v>
      </c>
    </row>
    <row r="62" spans="1:30" ht="17.25" customHeight="1"/>
    <row r="63" spans="1:30" s="23" customFormat="1" ht="11.25" customHeight="1">
      <c r="A63" s="23" t="s">
        <v>1409</v>
      </c>
    </row>
    <row r="64" spans="1:30" ht="17.25" customHeight="1"/>
    <row r="65" spans="1:58" s="24" customFormat="1" ht="27" customHeight="1">
      <c r="A65" s="328"/>
      <c r="B65" s="328"/>
      <c r="C65" s="328"/>
      <c r="D65" s="72"/>
      <c r="E65" s="732"/>
      <c r="F65" s="1001"/>
      <c r="G65" s="1005"/>
      <c r="H65" s="1006"/>
      <c r="I65" s="1007"/>
      <c r="J65" s="1008"/>
      <c r="K65" s="1009"/>
      <c r="L65" s="1010"/>
      <c r="M65" s="1010"/>
      <c r="N65" s="1011"/>
      <c r="O65" s="1011"/>
      <c r="P65" s="1012"/>
      <c r="Q65" s="1013"/>
      <c r="R65" s="1013"/>
      <c r="S65" s="1013"/>
      <c r="T65" s="1008"/>
      <c r="U65" s="1013"/>
      <c r="V65" s="1013"/>
      <c r="W65" s="1013"/>
      <c r="X65" s="1008"/>
      <c r="Y65" s="1006"/>
      <c r="Z65" s="731"/>
      <c r="AA65" s="50">
        <v>1</v>
      </c>
      <c r="AB65" s="765"/>
      <c r="AD65" s="77" t="s">
        <v>1407</v>
      </c>
    </row>
    <row r="66" spans="1:58" ht="17.25" customHeight="1"/>
    <row r="67" spans="1:58" s="23" customFormat="1" ht="11.25" customHeight="1">
      <c r="A67" s="23" t="s">
        <v>1410</v>
      </c>
    </row>
    <row r="68" spans="1:58" ht="17.25" customHeight="1"/>
    <row r="69" spans="1:58" s="24" customFormat="1" ht="21" customHeight="1">
      <c r="A69" s="338"/>
      <c r="B69" s="328"/>
      <c r="C69" s="328"/>
      <c r="D69" s="72"/>
      <c r="E69" s="25"/>
      <c r="F69" s="708" t="e">
        <f>INDEX(IP_MAIN_LIST_NAME_IP,MATCH(A69,IP_MAIN_LIST_IP_ID,0))&amp;" ("&amp;INDEX(IP_MAIN_START_DATE,MATCH(A69,IP_MAIN_LIST_IP_ID,0))&amp;"-"&amp;INDEX(IP_MAIN_END_DATE,MATCH(A69,IP_MAIN_LIST_IP_ID,0))&amp;")"</f>
        <v>#N/A</v>
      </c>
      <c r="G69" s="709"/>
      <c r="H69" s="709"/>
      <c r="I69" s="726"/>
      <c r="J69" s="726"/>
      <c r="K69" s="727"/>
      <c r="L69" s="727"/>
      <c r="M69" s="727"/>
      <c r="N69" s="728"/>
      <c r="O69" s="728"/>
      <c r="P69" s="728"/>
      <c r="Q69" s="728"/>
      <c r="R69" s="728"/>
      <c r="S69" s="728"/>
      <c r="T69" s="728"/>
      <c r="U69" s="728"/>
      <c r="V69" s="728"/>
      <c r="W69" s="728"/>
      <c r="X69" s="728"/>
      <c r="Y69" s="728"/>
      <c r="Z69" s="728"/>
      <c r="AA69" s="728"/>
      <c r="AB69" s="728"/>
      <c r="AC69" s="728"/>
      <c r="AD69" s="728"/>
      <c r="AE69" s="729"/>
      <c r="AF69" s="727"/>
      <c r="AG69" s="727"/>
      <c r="AH69" s="727"/>
      <c r="AI69" s="727"/>
      <c r="AJ69" s="727"/>
      <c r="AK69" s="727"/>
      <c r="AL69" s="566"/>
      <c r="AM69" s="43"/>
      <c r="AN69" s="43"/>
      <c r="AO69" s="43"/>
      <c r="AP69" s="43"/>
      <c r="AQ69" s="43"/>
      <c r="AR69" s="43"/>
      <c r="AS69" s="43"/>
      <c r="AT69" s="43"/>
      <c r="AU69" s="43"/>
      <c r="AV69" s="43"/>
      <c r="AW69" s="43"/>
      <c r="AX69" s="43"/>
      <c r="AY69" s="43"/>
      <c r="AZ69" s="43"/>
      <c r="BA69" s="43"/>
      <c r="BB69" s="43"/>
      <c r="BC69" s="43"/>
      <c r="BD69" s="43"/>
      <c r="BE69" s="43"/>
      <c r="BF69" s="43"/>
    </row>
    <row r="70" spans="1:58" s="24" customFormat="1" ht="11.25" customHeight="1">
      <c r="A70" s="328"/>
      <c r="B70" s="328"/>
      <c r="C70" s="328"/>
      <c r="D70" s="72"/>
      <c r="E70" s="25"/>
      <c r="F70" s="1304"/>
      <c r="G70" s="1262"/>
      <c r="H70" s="1262" t="s">
        <v>109</v>
      </c>
      <c r="I70" s="1308"/>
      <c r="J70" s="1309"/>
      <c r="K70" s="1310"/>
      <c r="L70" s="1302" t="s">
        <v>57</v>
      </c>
      <c r="M70" s="1134"/>
      <c r="N70" s="721"/>
      <c r="O70" s="720" t="s">
        <v>370</v>
      </c>
      <c r="P70" s="721"/>
      <c r="Q70" s="721"/>
      <c r="R70" s="721"/>
      <c r="S70" s="721"/>
      <c r="T70" s="721"/>
      <c r="U70" s="721"/>
      <c r="V70" s="721"/>
      <c r="W70" s="721"/>
      <c r="X70" s="721"/>
      <c r="Y70" s="721"/>
      <c r="Z70" s="721"/>
      <c r="AA70" s="721"/>
      <c r="AB70" s="721"/>
      <c r="AC70" s="721"/>
      <c r="AD70" s="721"/>
      <c r="AE70" s="721"/>
      <c r="AF70" s="1306"/>
      <c r="AG70" s="1302"/>
      <c r="AH70" s="1302"/>
      <c r="AI70" s="1306"/>
      <c r="AJ70" s="1302"/>
      <c r="AK70" s="1302"/>
      <c r="AM70" s="43"/>
      <c r="AN70" s="43"/>
      <c r="AO70" s="43"/>
      <c r="AP70" s="43"/>
      <c r="AQ70" s="43"/>
      <c r="AR70" s="43"/>
      <c r="AS70" s="43"/>
      <c r="AT70" s="43"/>
      <c r="AU70" s="43"/>
      <c r="AV70" s="43"/>
      <c r="AW70" s="43"/>
      <c r="AX70" s="43"/>
      <c r="AY70" s="43"/>
      <c r="AZ70" s="43"/>
      <c r="BA70" s="43"/>
      <c r="BB70" s="43"/>
      <c r="BC70" s="43"/>
      <c r="BD70" s="43"/>
      <c r="BE70" s="43"/>
      <c r="BF70" s="43"/>
    </row>
    <row r="71" spans="1:58" s="24" customFormat="1" ht="11.25" customHeight="1">
      <c r="A71" s="328"/>
      <c r="B71" s="328"/>
      <c r="C71" s="328"/>
      <c r="D71" s="72"/>
      <c r="E71" s="25"/>
      <c r="F71" s="1304"/>
      <c r="G71" s="1262"/>
      <c r="H71" s="1262"/>
      <c r="I71" s="1308"/>
      <c r="J71" s="1309"/>
      <c r="K71" s="1310"/>
      <c r="L71" s="1302"/>
      <c r="M71" s="1134"/>
      <c r="N71" s="1311"/>
      <c r="O71" s="1277">
        <v>1</v>
      </c>
      <c r="P71" s="1272" t="s">
        <v>57</v>
      </c>
      <c r="Q71" s="1275" t="s">
        <v>17</v>
      </c>
      <c r="R71" s="1275" t="s">
        <v>17</v>
      </c>
      <c r="S71" s="1275" t="s">
        <v>17</v>
      </c>
      <c r="T71" s="1275" t="s">
        <v>17</v>
      </c>
      <c r="U71" s="1275" t="s">
        <v>17</v>
      </c>
      <c r="V71" s="1275" t="s">
        <v>17</v>
      </c>
      <c r="W71" s="1275" t="s">
        <v>17</v>
      </c>
      <c r="X71" s="1275" t="s">
        <v>17</v>
      </c>
      <c r="Y71" s="1275"/>
      <c r="Z71" s="718"/>
      <c r="AA71" s="719"/>
      <c r="AB71" s="719"/>
      <c r="AC71" s="1043"/>
      <c r="AD71" s="1043"/>
      <c r="AE71" s="1044"/>
      <c r="AF71" s="1306"/>
      <c r="AG71" s="1302"/>
      <c r="AH71" s="1302"/>
      <c r="AI71" s="1306"/>
      <c r="AJ71" s="1302"/>
      <c r="AK71" s="1302"/>
      <c r="AM71" s="43"/>
      <c r="AN71" s="43"/>
      <c r="AO71" s="43"/>
      <c r="AP71" s="43"/>
      <c r="AQ71" s="43"/>
      <c r="AR71" s="43"/>
      <c r="AS71" s="43"/>
      <c r="AT71" s="43"/>
      <c r="AU71" s="43"/>
      <c r="AV71" s="43"/>
      <c r="AW71" s="43"/>
      <c r="AX71" s="43"/>
      <c r="AY71" s="43"/>
      <c r="AZ71" s="43"/>
      <c r="BA71" s="43"/>
      <c r="BB71" s="43"/>
      <c r="BC71" s="43"/>
      <c r="BD71" s="43"/>
      <c r="BE71" s="43"/>
      <c r="BF71" s="43"/>
    </row>
    <row r="72" spans="1:58" s="24" customFormat="1" ht="11.25" customHeight="1">
      <c r="A72" s="328"/>
      <c r="B72" s="328"/>
      <c r="C72" s="328"/>
      <c r="D72" s="72"/>
      <c r="E72" s="25"/>
      <c r="F72" s="1304"/>
      <c r="G72" s="1262"/>
      <c r="H72" s="1262"/>
      <c r="I72" s="1308"/>
      <c r="J72" s="1309"/>
      <c r="K72" s="1310"/>
      <c r="L72" s="1302"/>
      <c r="M72" s="1134"/>
      <c r="N72" s="1311"/>
      <c r="O72" s="1277"/>
      <c r="P72" s="1273"/>
      <c r="Q72" s="1275"/>
      <c r="R72" s="1275"/>
      <c r="S72" s="1307"/>
      <c r="T72" s="1275"/>
      <c r="U72" s="1275"/>
      <c r="V72" s="1275"/>
      <c r="W72" s="1275"/>
      <c r="X72" s="1275"/>
      <c r="Y72" s="1275"/>
      <c r="Z72" s="722"/>
      <c r="AA72" s="723">
        <v>1</v>
      </c>
      <c r="AB72" s="1045"/>
      <c r="AC72" s="406"/>
      <c r="AD72" s="1045">
        <f>AB72</f>
        <v>0</v>
      </c>
      <c r="AE72" s="406"/>
      <c r="AF72" s="1306"/>
      <c r="AG72" s="1302"/>
      <c r="AH72" s="1302"/>
      <c r="AI72" s="1306"/>
      <c r="AJ72" s="1302"/>
      <c r="AK72" s="1302"/>
      <c r="AM72" s="43"/>
      <c r="AN72" s="43"/>
      <c r="AO72" s="43"/>
      <c r="AP72" s="43"/>
      <c r="AQ72" s="43"/>
      <c r="AR72" s="43"/>
      <c r="AS72" s="43"/>
      <c r="AT72" s="43"/>
      <c r="AU72" s="43"/>
      <c r="AV72" s="43"/>
      <c r="AW72" s="43"/>
      <c r="AX72" s="43"/>
      <c r="AY72" s="43"/>
      <c r="AZ72" s="43"/>
      <c r="BA72" s="43"/>
      <c r="BB72" s="43"/>
      <c r="BC72" s="43"/>
      <c r="BD72" s="43"/>
      <c r="BE72" s="43"/>
      <c r="BF72" s="43"/>
    </row>
    <row r="73" spans="1:58" s="24" customFormat="1" ht="11.25" customHeight="1">
      <c r="A73" s="328"/>
      <c r="B73" s="328"/>
      <c r="C73" s="328"/>
      <c r="D73" s="72"/>
      <c r="E73" s="25"/>
      <c r="F73" s="1304"/>
      <c r="G73" s="1262"/>
      <c r="H73" s="1262"/>
      <c r="I73" s="1308"/>
      <c r="J73" s="1309"/>
      <c r="K73" s="1310"/>
      <c r="L73" s="1302"/>
      <c r="M73" s="1134"/>
      <c r="N73" s="1311"/>
      <c r="O73" s="1277"/>
      <c r="P73" s="1274"/>
      <c r="Q73" s="1275"/>
      <c r="R73" s="1275"/>
      <c r="S73" s="1307"/>
      <c r="T73" s="1275"/>
      <c r="U73" s="1275"/>
      <c r="V73" s="1275"/>
      <c r="W73" s="1275"/>
      <c r="X73" s="1275"/>
      <c r="Y73" s="1275"/>
      <c r="Z73" s="718"/>
      <c r="AA73" s="719"/>
      <c r="AB73" s="116" t="s">
        <v>1411</v>
      </c>
      <c r="AC73" s="1043"/>
      <c r="AD73" s="1043"/>
      <c r="AE73" s="1046"/>
      <c r="AF73" s="1306"/>
      <c r="AG73" s="1302"/>
      <c r="AH73" s="1302"/>
      <c r="AI73" s="1306"/>
      <c r="AJ73" s="1302"/>
      <c r="AK73" s="1302"/>
      <c r="AM73" s="43"/>
      <c r="AN73" s="43"/>
      <c r="AO73" s="43"/>
      <c r="AP73" s="43"/>
      <c r="AQ73" s="43"/>
      <c r="AR73" s="43"/>
      <c r="AS73" s="43"/>
      <c r="AT73" s="43"/>
      <c r="AU73" s="43"/>
      <c r="AV73" s="43"/>
      <c r="AW73" s="43"/>
      <c r="AX73" s="43"/>
      <c r="AY73" s="43"/>
      <c r="AZ73" s="43"/>
      <c r="BA73" s="43"/>
      <c r="BB73" s="43"/>
      <c r="BC73" s="43"/>
      <c r="BD73" s="43"/>
      <c r="BE73" s="43"/>
      <c r="BF73" s="43"/>
    </row>
    <row r="74" spans="1:58" s="24" customFormat="1" ht="11.25" customHeight="1">
      <c r="A74" s="328"/>
      <c r="B74" s="328"/>
      <c r="C74" s="328"/>
      <c r="D74" s="72"/>
      <c r="E74" s="25"/>
      <c r="F74" s="1304"/>
      <c r="G74" s="1262"/>
      <c r="H74" s="1262"/>
      <c r="I74" s="1308"/>
      <c r="J74" s="1309"/>
      <c r="K74" s="1310"/>
      <c r="L74" s="1302"/>
      <c r="M74" s="1134"/>
      <c r="N74" s="719"/>
      <c r="O74" s="719"/>
      <c r="P74" s="116" t="s">
        <v>1412</v>
      </c>
      <c r="Q74" s="719"/>
      <c r="R74" s="719"/>
      <c r="S74" s="719"/>
      <c r="T74" s="719"/>
      <c r="U74" s="719"/>
      <c r="V74" s="719"/>
      <c r="W74" s="719"/>
      <c r="X74" s="719"/>
      <c r="Y74" s="719"/>
      <c r="Z74" s="719"/>
      <c r="AA74" s="719"/>
      <c r="AB74" s="719"/>
      <c r="AC74" s="719"/>
      <c r="AD74" s="719"/>
      <c r="AE74" s="724"/>
      <c r="AF74" s="1306"/>
      <c r="AG74" s="1302"/>
      <c r="AH74" s="1302"/>
      <c r="AI74" s="1306"/>
      <c r="AJ74" s="1302"/>
      <c r="AK74" s="1302"/>
      <c r="AM74" s="43"/>
      <c r="AN74" s="43"/>
      <c r="AO74" s="43"/>
      <c r="AP74" s="43"/>
      <c r="AQ74" s="43"/>
      <c r="AR74" s="43"/>
      <c r="AS74" s="43"/>
      <c r="AT74" s="43"/>
      <c r="AU74" s="43"/>
      <c r="AV74" s="43"/>
      <c r="AW74" s="43"/>
      <c r="AX74" s="43"/>
      <c r="AY74" s="43"/>
      <c r="AZ74" s="43"/>
      <c r="BA74" s="43"/>
      <c r="BB74" s="43"/>
      <c r="BC74" s="43"/>
      <c r="BD74" s="43"/>
      <c r="BE74" s="43"/>
      <c r="BF74" s="43"/>
    </row>
    <row r="75" spans="1:58" s="24" customFormat="1" ht="12" customHeight="1">
      <c r="A75" s="328"/>
      <c r="B75" s="328"/>
      <c r="C75" s="328"/>
      <c r="D75" s="72"/>
      <c r="E75" s="25"/>
      <c r="F75" s="1305"/>
      <c r="G75" s="730"/>
      <c r="H75" s="730"/>
      <c r="I75" s="1303" t="s">
        <v>1413</v>
      </c>
      <c r="J75" s="1303"/>
      <c r="K75" s="1303"/>
      <c r="L75" s="716"/>
      <c r="M75" s="716"/>
      <c r="N75" s="717"/>
      <c r="O75" s="717"/>
      <c r="P75" s="717"/>
      <c r="Q75" s="717"/>
      <c r="R75" s="717"/>
      <c r="S75" s="717"/>
      <c r="T75" s="717"/>
      <c r="U75" s="717"/>
      <c r="V75" s="717"/>
      <c r="W75" s="717"/>
      <c r="X75" s="717"/>
      <c r="Y75" s="717"/>
      <c r="Z75" s="717"/>
      <c r="AA75" s="717"/>
      <c r="AB75" s="717"/>
      <c r="AC75" s="717"/>
      <c r="AD75" s="717"/>
      <c r="AE75" s="717"/>
      <c r="AF75" s="717"/>
      <c r="AG75" s="716"/>
      <c r="AH75" s="716"/>
      <c r="AI75" s="717"/>
      <c r="AJ75" s="716"/>
      <c r="AK75" s="725"/>
      <c r="AM75" s="43"/>
      <c r="AN75" s="43"/>
      <c r="AO75" s="43"/>
      <c r="AP75" s="43"/>
      <c r="AQ75" s="43"/>
      <c r="AR75" s="43"/>
      <c r="AS75" s="43"/>
      <c r="AT75" s="43"/>
      <c r="AU75" s="43"/>
      <c r="AV75" s="43"/>
      <c r="AW75" s="43"/>
      <c r="AX75" s="43"/>
      <c r="AY75" s="43"/>
      <c r="AZ75" s="43"/>
      <c r="BA75" s="43"/>
      <c r="BB75" s="43"/>
      <c r="BC75" s="43"/>
      <c r="BD75" s="43"/>
      <c r="BE75" s="43"/>
      <c r="BF75" s="43"/>
    </row>
    <row r="76" spans="1:58" ht="17.25" customHeight="1"/>
    <row r="77" spans="1:58" s="23" customFormat="1" ht="11.25" customHeight="1">
      <c r="A77" s="23" t="s">
        <v>1414</v>
      </c>
    </row>
    <row r="78" spans="1:58" ht="17.25" customHeight="1"/>
    <row r="79" spans="1:58" s="24" customFormat="1" ht="11.25" customHeight="1">
      <c r="A79" s="328"/>
      <c r="B79" s="328"/>
      <c r="C79" s="328"/>
      <c r="D79" s="72"/>
      <c r="E79" s="25"/>
      <c r="F79" s="1029"/>
      <c r="G79" s="1014"/>
      <c r="H79" s="1014"/>
      <c r="I79" s="1047"/>
      <c r="J79" s="1047"/>
      <c r="K79" s="1020"/>
      <c r="L79" s="1047"/>
      <c r="M79" s="1014"/>
      <c r="N79" s="1276"/>
      <c r="O79" s="1277">
        <v>1</v>
      </c>
      <c r="P79" s="1272" t="s">
        <v>57</v>
      </c>
      <c r="Q79" s="1275" t="s">
        <v>17</v>
      </c>
      <c r="R79" s="1275" t="s">
        <v>17</v>
      </c>
      <c r="S79" s="1275" t="s">
        <v>17</v>
      </c>
      <c r="T79" s="1275" t="s">
        <v>17</v>
      </c>
      <c r="U79" s="1275" t="s">
        <v>17</v>
      </c>
      <c r="V79" s="1275" t="s">
        <v>17</v>
      </c>
      <c r="W79" s="1275" t="s">
        <v>17</v>
      </c>
      <c r="X79" s="1275" t="s">
        <v>17</v>
      </c>
      <c r="Y79" s="1275"/>
      <c r="Z79" s="718"/>
      <c r="AA79" s="719"/>
      <c r="AB79" s="719"/>
      <c r="AC79" s="1043"/>
      <c r="AD79" s="1043"/>
      <c r="AE79" s="1043"/>
      <c r="AF79" s="1019"/>
      <c r="AG79" s="1022"/>
      <c r="AH79" s="1022"/>
      <c r="AI79" s="1019"/>
      <c r="AJ79" s="1022"/>
      <c r="AK79" s="1022"/>
      <c r="AM79" s="43"/>
      <c r="AN79" s="43"/>
      <c r="AO79" s="43"/>
      <c r="AP79" s="43"/>
      <c r="AQ79" s="43"/>
      <c r="AR79" s="43"/>
      <c r="AS79" s="43"/>
      <c r="AT79" s="43"/>
      <c r="AU79" s="43"/>
      <c r="AV79" s="43"/>
      <c r="AW79" s="43"/>
      <c r="AX79" s="43"/>
      <c r="AY79" s="43"/>
      <c r="AZ79" s="43"/>
      <c r="BA79" s="43"/>
      <c r="BB79" s="43"/>
      <c r="BC79" s="43"/>
      <c r="BD79" s="43"/>
      <c r="BE79" s="43"/>
      <c r="BF79" s="43"/>
    </row>
    <row r="80" spans="1:58" s="24" customFormat="1" ht="11.25" customHeight="1">
      <c r="A80" s="328"/>
      <c r="B80" s="328"/>
      <c r="C80" s="328"/>
      <c r="D80" s="72"/>
      <c r="E80" s="25"/>
      <c r="F80" s="1029"/>
      <c r="G80" s="1014"/>
      <c r="H80" s="1014"/>
      <c r="I80" s="1048"/>
      <c r="J80" s="1048"/>
      <c r="K80" s="1020"/>
      <c r="L80" s="1048"/>
      <c r="M80" s="1014"/>
      <c r="N80" s="1276"/>
      <c r="O80" s="1277"/>
      <c r="P80" s="1273"/>
      <c r="Q80" s="1275"/>
      <c r="R80" s="1275"/>
      <c r="S80" s="1307"/>
      <c r="T80" s="1275"/>
      <c r="U80" s="1275"/>
      <c r="V80" s="1275"/>
      <c r="W80" s="1275"/>
      <c r="X80" s="1275"/>
      <c r="Y80" s="1275"/>
      <c r="Z80" s="722"/>
      <c r="AA80" s="723">
        <v>1</v>
      </c>
      <c r="AB80" s="1045"/>
      <c r="AC80" s="406"/>
      <c r="AD80" s="1045">
        <f>AB80</f>
        <v>0</v>
      </c>
      <c r="AE80" s="447"/>
      <c r="AF80" s="1020"/>
      <c r="AG80" s="1022"/>
      <c r="AH80" s="1022"/>
      <c r="AI80" s="1020"/>
      <c r="AJ80" s="1022"/>
      <c r="AK80" s="1022"/>
      <c r="AM80" s="43"/>
      <c r="AN80" s="43"/>
      <c r="AO80" s="43"/>
      <c r="AP80" s="43"/>
      <c r="AQ80" s="43"/>
      <c r="AR80" s="43"/>
      <c r="AS80" s="43"/>
      <c r="AT80" s="43"/>
      <c r="AU80" s="43"/>
      <c r="AV80" s="43"/>
      <c r="AW80" s="43"/>
      <c r="AX80" s="43"/>
      <c r="AY80" s="43"/>
      <c r="AZ80" s="43"/>
      <c r="BA80" s="43"/>
      <c r="BB80" s="43"/>
      <c r="BC80" s="43"/>
      <c r="BD80" s="43"/>
      <c r="BE80" s="43"/>
      <c r="BF80" s="43"/>
    </row>
    <row r="81" spans="1:58" s="24" customFormat="1" ht="11.25" customHeight="1">
      <c r="A81" s="328"/>
      <c r="B81" s="328"/>
      <c r="C81" s="328"/>
      <c r="D81" s="72"/>
      <c r="E81" s="25"/>
      <c r="F81" s="1029"/>
      <c r="G81" s="1014"/>
      <c r="H81" s="1014"/>
      <c r="I81" s="1049"/>
      <c r="J81" s="1049"/>
      <c r="K81" s="1020"/>
      <c r="L81" s="1049"/>
      <c r="M81" s="1014"/>
      <c r="N81" s="1276"/>
      <c r="O81" s="1277"/>
      <c r="P81" s="1274"/>
      <c r="Q81" s="1275"/>
      <c r="R81" s="1275"/>
      <c r="S81" s="1307"/>
      <c r="T81" s="1275"/>
      <c r="U81" s="1275"/>
      <c r="V81" s="1275"/>
      <c r="W81" s="1275"/>
      <c r="X81" s="1275"/>
      <c r="Y81" s="1275"/>
      <c r="Z81" s="718"/>
      <c r="AA81" s="719"/>
      <c r="AB81" s="116" t="s">
        <v>1411</v>
      </c>
      <c r="AC81" s="1043"/>
      <c r="AD81" s="1043"/>
      <c r="AE81" s="1043"/>
      <c r="AF81" s="1021"/>
      <c r="AG81" s="1022"/>
      <c r="AH81" s="1022"/>
      <c r="AI81" s="1021"/>
      <c r="AJ81" s="1022"/>
      <c r="AK81" s="1022"/>
      <c r="AM81" s="43"/>
      <c r="AN81" s="43"/>
      <c r="AO81" s="43"/>
      <c r="AP81" s="43"/>
      <c r="AQ81" s="43"/>
      <c r="AR81" s="43"/>
      <c r="AS81" s="43"/>
      <c r="AT81" s="43"/>
      <c r="AU81" s="43"/>
      <c r="AV81" s="43"/>
      <c r="AW81" s="43"/>
      <c r="AX81" s="43"/>
      <c r="AY81" s="43"/>
      <c r="AZ81" s="43"/>
      <c r="BA81" s="43"/>
      <c r="BB81" s="43"/>
      <c r="BC81" s="43"/>
      <c r="BD81" s="43"/>
      <c r="BE81" s="43"/>
      <c r="BF81" s="43"/>
    </row>
    <row r="82" spans="1:58" ht="17.25" customHeight="1"/>
    <row r="83" spans="1:58" s="23" customFormat="1" ht="11.25" customHeight="1">
      <c r="A83" s="23" t="s">
        <v>1415</v>
      </c>
    </row>
    <row r="84" spans="1:58" ht="17.25" customHeight="1"/>
    <row r="85" spans="1:58" s="24" customFormat="1" ht="11.25" customHeight="1">
      <c r="A85" s="328"/>
      <c r="B85" s="328"/>
      <c r="C85" s="328"/>
      <c r="D85" s="72"/>
      <c r="E85" s="25"/>
      <c r="F85"/>
      <c r="G85"/>
      <c r="H85"/>
      <c r="I85"/>
      <c r="J85"/>
      <c r="K85"/>
      <c r="L85"/>
      <c r="M85"/>
      <c r="N85"/>
      <c r="O85"/>
      <c r="P85"/>
      <c r="Q85"/>
      <c r="R85"/>
      <c r="S85"/>
      <c r="T85"/>
      <c r="U85"/>
      <c r="V85"/>
      <c r="W85"/>
      <c r="X85"/>
      <c r="Y85"/>
      <c r="Z85" s="722"/>
      <c r="AA85" s="723">
        <v>1</v>
      </c>
      <c r="AB85" s="1045"/>
      <c r="AC85" s="406"/>
      <c r="AD85" s="1045">
        <f>AB85</f>
        <v>0</v>
      </c>
      <c r="AE85" s="406"/>
      <c r="AF85" s="1020"/>
      <c r="AG85" s="1022"/>
      <c r="AH85" s="1022"/>
      <c r="AI85" s="1020"/>
      <c r="AJ85" s="1022"/>
      <c r="AK85" s="1022"/>
      <c r="AM85" s="43"/>
      <c r="AN85" s="43"/>
      <c r="AO85" s="43"/>
      <c r="AP85" s="43"/>
      <c r="AQ85" s="43"/>
      <c r="AR85" s="43"/>
      <c r="AS85" s="43"/>
      <c r="AT85" s="43"/>
      <c r="AU85" s="43"/>
      <c r="AV85" s="43"/>
      <c r="AW85" s="43"/>
      <c r="AX85" s="43"/>
      <c r="AY85" s="43"/>
      <c r="AZ85" s="43"/>
      <c r="BA85" s="43"/>
      <c r="BB85" s="43"/>
      <c r="BC85" s="43"/>
      <c r="BD85" s="43"/>
      <c r="BE85" s="43"/>
      <c r="BF85" s="43"/>
    </row>
    <row r="86" spans="1:58" ht="17.25" customHeight="1"/>
    <row r="87" spans="1:58" s="23" customFormat="1" ht="11.25" customHeight="1">
      <c r="A87" s="23" t="s">
        <v>1416</v>
      </c>
    </row>
    <row r="88" spans="1:58" ht="17.25" customHeight="1"/>
    <row r="89" spans="1:58" s="24" customFormat="1" ht="11.25" customHeight="1">
      <c r="A89" s="328"/>
      <c r="B89" s="328"/>
      <c r="C89" s="328"/>
      <c r="D89" s="72"/>
      <c r="E89" s="25"/>
      <c r="F89" s="1029"/>
      <c r="G89" s="1014"/>
      <c r="H89" s="1262" t="s">
        <v>109</v>
      </c>
      <c r="I89" s="1308"/>
      <c r="J89" s="1309"/>
      <c r="K89" s="1310"/>
      <c r="L89" s="1302" t="s">
        <v>57</v>
      </c>
      <c r="M89" s="1134"/>
      <c r="N89" s="721"/>
      <c r="O89" s="720" t="s">
        <v>370</v>
      </c>
      <c r="P89" s="721"/>
      <c r="Q89" s="721"/>
      <c r="R89" s="721"/>
      <c r="S89" s="721"/>
      <c r="T89" s="721"/>
      <c r="U89" s="721"/>
      <c r="V89" s="721"/>
      <c r="W89" s="721"/>
      <c r="X89" s="721"/>
      <c r="Y89" s="721"/>
      <c r="Z89" s="721"/>
      <c r="AA89" s="721"/>
      <c r="AB89" s="721"/>
      <c r="AC89" s="721"/>
      <c r="AD89" s="721"/>
      <c r="AE89" s="721"/>
      <c r="AF89" s="1306"/>
      <c r="AG89" s="1302"/>
      <c r="AH89" s="1302"/>
      <c r="AI89" s="1306"/>
      <c r="AJ89" s="1302"/>
      <c r="AK89" s="1302"/>
      <c r="AM89" s="43"/>
      <c r="AN89" s="43"/>
      <c r="AO89" s="43"/>
      <c r="AP89" s="43"/>
      <c r="AQ89" s="43"/>
      <c r="AR89" s="43"/>
      <c r="AS89" s="43"/>
      <c r="AT89" s="43"/>
      <c r="AU89" s="43"/>
      <c r="AV89" s="43"/>
      <c r="AW89" s="43"/>
      <c r="AX89" s="43"/>
      <c r="AY89" s="43"/>
      <c r="AZ89" s="43"/>
      <c r="BA89" s="43"/>
      <c r="BB89" s="43"/>
      <c r="BC89" s="43"/>
      <c r="BD89" s="43"/>
      <c r="BE89" s="43"/>
      <c r="BF89" s="43"/>
    </row>
    <row r="90" spans="1:58" s="24" customFormat="1" ht="11.25" customHeight="1">
      <c r="A90" s="328"/>
      <c r="B90" s="328"/>
      <c r="C90" s="328"/>
      <c r="D90" s="72"/>
      <c r="E90" s="25"/>
      <c r="F90" s="1029"/>
      <c r="G90" s="1014"/>
      <c r="H90" s="1262"/>
      <c r="I90" s="1308"/>
      <c r="J90" s="1309"/>
      <c r="K90" s="1310"/>
      <c r="L90" s="1302"/>
      <c r="M90" s="1134"/>
      <c r="N90" s="1311"/>
      <c r="O90" s="1277">
        <v>1</v>
      </c>
      <c r="P90" s="1272" t="s">
        <v>57</v>
      </c>
      <c r="Q90" s="1275" t="s">
        <v>17</v>
      </c>
      <c r="R90" s="1275" t="s">
        <v>17</v>
      </c>
      <c r="S90" s="1275" t="s">
        <v>17</v>
      </c>
      <c r="T90" s="1275" t="s">
        <v>17</v>
      </c>
      <c r="U90" s="1275" t="s">
        <v>17</v>
      </c>
      <c r="V90" s="1275" t="s">
        <v>17</v>
      </c>
      <c r="W90" s="1275" t="s">
        <v>17</v>
      </c>
      <c r="X90" s="1275" t="s">
        <v>17</v>
      </c>
      <c r="Y90" s="1275"/>
      <c r="Z90" s="718"/>
      <c r="AA90" s="719"/>
      <c r="AB90" s="719"/>
      <c r="AC90" s="1043"/>
      <c r="AD90" s="1043"/>
      <c r="AE90" s="1044"/>
      <c r="AF90" s="1306"/>
      <c r="AG90" s="1302"/>
      <c r="AH90" s="1302"/>
      <c r="AI90" s="1306"/>
      <c r="AJ90" s="1302"/>
      <c r="AK90" s="1302"/>
      <c r="AM90" s="43"/>
      <c r="AN90" s="43"/>
      <c r="AO90" s="43"/>
      <c r="AP90" s="43"/>
      <c r="AQ90" s="43"/>
      <c r="AR90" s="43"/>
      <c r="AS90" s="43"/>
      <c r="AT90" s="43"/>
      <c r="AU90" s="43"/>
      <c r="AV90" s="43"/>
      <c r="AW90" s="43"/>
      <c r="AX90" s="43"/>
      <c r="AY90" s="43"/>
      <c r="AZ90" s="43"/>
      <c r="BA90" s="43"/>
      <c r="BB90" s="43"/>
      <c r="BC90" s="43"/>
      <c r="BD90" s="43"/>
      <c r="BE90" s="43"/>
      <c r="BF90" s="43"/>
    </row>
    <row r="91" spans="1:58" s="24" customFormat="1" ht="11.25" customHeight="1">
      <c r="A91" s="328"/>
      <c r="B91" s="328"/>
      <c r="C91" s="328"/>
      <c r="D91" s="72"/>
      <c r="E91" s="25"/>
      <c r="F91" s="1029"/>
      <c r="G91" s="1014"/>
      <c r="H91" s="1262"/>
      <c r="I91" s="1308"/>
      <c r="J91" s="1309"/>
      <c r="K91" s="1310"/>
      <c r="L91" s="1302"/>
      <c r="M91" s="1134"/>
      <c r="N91" s="1311"/>
      <c r="O91" s="1277"/>
      <c r="P91" s="1273"/>
      <c r="Q91" s="1275"/>
      <c r="R91" s="1275"/>
      <c r="S91" s="1307"/>
      <c r="T91" s="1275"/>
      <c r="U91" s="1275"/>
      <c r="V91" s="1275"/>
      <c r="W91" s="1275"/>
      <c r="X91" s="1275"/>
      <c r="Y91" s="1275"/>
      <c r="Z91" s="722"/>
      <c r="AA91" s="723">
        <v>1</v>
      </c>
      <c r="AB91" s="1045"/>
      <c r="AC91" s="406"/>
      <c r="AD91" s="1045">
        <f>AB91</f>
        <v>0</v>
      </c>
      <c r="AE91" s="406"/>
      <c r="AF91" s="1306"/>
      <c r="AG91" s="1302"/>
      <c r="AH91" s="1302"/>
      <c r="AI91" s="1306"/>
      <c r="AJ91" s="1302"/>
      <c r="AK91" s="1302"/>
      <c r="AM91" s="43"/>
      <c r="AN91" s="43"/>
      <c r="AO91" s="43"/>
      <c r="AP91" s="43"/>
      <c r="AQ91" s="43"/>
      <c r="AR91" s="43"/>
      <c r="AS91" s="43"/>
      <c r="AT91" s="43"/>
      <c r="AU91" s="43"/>
      <c r="AV91" s="43"/>
      <c r="AW91" s="43"/>
      <c r="AX91" s="43"/>
      <c r="AY91" s="43"/>
      <c r="AZ91" s="43"/>
      <c r="BA91" s="43"/>
      <c r="BB91" s="43"/>
      <c r="BC91" s="43"/>
      <c r="BD91" s="43"/>
      <c r="BE91" s="43"/>
      <c r="BF91" s="43"/>
    </row>
    <row r="92" spans="1:58" s="24" customFormat="1" ht="11.25" customHeight="1">
      <c r="A92" s="328"/>
      <c r="B92" s="328"/>
      <c r="C92" s="328"/>
      <c r="D92" s="72"/>
      <c r="E92" s="25"/>
      <c r="F92" s="1029"/>
      <c r="G92" s="1014"/>
      <c r="H92" s="1262"/>
      <c r="I92" s="1308"/>
      <c r="J92" s="1309"/>
      <c r="K92" s="1310"/>
      <c r="L92" s="1302"/>
      <c r="M92" s="1134"/>
      <c r="N92" s="1311"/>
      <c r="O92" s="1277"/>
      <c r="P92" s="1274"/>
      <c r="Q92" s="1275"/>
      <c r="R92" s="1275"/>
      <c r="S92" s="1307"/>
      <c r="T92" s="1275"/>
      <c r="U92" s="1275"/>
      <c r="V92" s="1275"/>
      <c r="W92" s="1275"/>
      <c r="X92" s="1275"/>
      <c r="Y92" s="1275"/>
      <c r="Z92" s="718"/>
      <c r="AA92" s="719"/>
      <c r="AB92" s="116" t="s">
        <v>1411</v>
      </c>
      <c r="AC92" s="1043"/>
      <c r="AD92" s="1043"/>
      <c r="AE92" s="1046"/>
      <c r="AF92" s="1306"/>
      <c r="AG92" s="1302"/>
      <c r="AH92" s="1302"/>
      <c r="AI92" s="1306"/>
      <c r="AJ92" s="1302"/>
      <c r="AK92" s="1302"/>
      <c r="AM92" s="43"/>
      <c r="AN92" s="43"/>
      <c r="AO92" s="43"/>
      <c r="AP92" s="43"/>
      <c r="AQ92" s="43"/>
      <c r="AR92" s="43"/>
      <c r="AS92" s="43"/>
      <c r="AT92" s="43"/>
      <c r="AU92" s="43"/>
      <c r="AV92" s="43"/>
      <c r="AW92" s="43"/>
      <c r="AX92" s="43"/>
      <c r="AY92" s="43"/>
      <c r="AZ92" s="43"/>
      <c r="BA92" s="43"/>
      <c r="BB92" s="43"/>
      <c r="BC92" s="43"/>
      <c r="BD92" s="43"/>
      <c r="BE92" s="43"/>
      <c r="BF92" s="43"/>
    </row>
    <row r="93" spans="1:58" s="24" customFormat="1" ht="11.25" customHeight="1">
      <c r="A93" s="328"/>
      <c r="B93" s="328"/>
      <c r="C93" s="328"/>
      <c r="D93" s="72"/>
      <c r="E93" s="25"/>
      <c r="F93" s="1029"/>
      <c r="G93" s="1014"/>
      <c r="H93" s="1262"/>
      <c r="I93" s="1308"/>
      <c r="J93" s="1309"/>
      <c r="K93" s="1310"/>
      <c r="L93" s="1302"/>
      <c r="M93" s="1134"/>
      <c r="N93" s="719"/>
      <c r="O93" s="719"/>
      <c r="P93" s="116" t="s">
        <v>1412</v>
      </c>
      <c r="Q93" s="719"/>
      <c r="R93" s="719"/>
      <c r="S93" s="719"/>
      <c r="T93" s="719"/>
      <c r="U93" s="719"/>
      <c r="V93" s="719"/>
      <c r="W93" s="719"/>
      <c r="X93" s="719"/>
      <c r="Y93" s="719"/>
      <c r="Z93" s="719"/>
      <c r="AA93" s="719"/>
      <c r="AB93" s="719"/>
      <c r="AC93" s="719"/>
      <c r="AD93" s="719"/>
      <c r="AE93" s="724"/>
      <c r="AF93" s="1306"/>
      <c r="AG93" s="1302"/>
      <c r="AH93" s="1302"/>
      <c r="AI93" s="1306"/>
      <c r="AJ93" s="1302"/>
      <c r="AK93" s="1302"/>
      <c r="AM93" s="43"/>
      <c r="AN93" s="43"/>
      <c r="AO93" s="43"/>
      <c r="AP93" s="43"/>
      <c r="AQ93" s="43"/>
      <c r="AR93" s="43"/>
      <c r="AS93" s="43"/>
      <c r="AT93" s="43"/>
      <c r="AU93" s="43"/>
      <c r="AV93" s="43"/>
      <c r="AW93" s="43"/>
      <c r="AX93" s="43"/>
      <c r="AY93" s="43"/>
      <c r="AZ93" s="43"/>
      <c r="BA93" s="43"/>
      <c r="BB93" s="43"/>
      <c r="BC93" s="43"/>
      <c r="BD93" s="43"/>
      <c r="BE93" s="43"/>
      <c r="BF93" s="43"/>
    </row>
    <row r="94" spans="1:58" ht="17.25" customHeight="1"/>
    <row r="95" spans="1:58" s="23" customFormat="1" ht="11.25" customHeight="1">
      <c r="A95" s="23" t="s">
        <v>1417</v>
      </c>
    </row>
    <row r="96" spans="1:58" ht="17.25" customHeight="1"/>
    <row r="97" spans="1:184" s="573" customFormat="1" ht="21" customHeight="1">
      <c r="A97" s="338"/>
      <c r="B97" s="574"/>
      <c r="E97" s="581" t="s">
        <v>17</v>
      </c>
      <c r="F97" s="707" t="e">
        <f>INDEX(IP_MAIN_LIST_NAME_IP,MATCH(A97,IP_MAIN_LIST_IP_ID,0))&amp;" ("&amp;INDEX(IP_MAIN_START_DATE,MATCH(A97,IP_MAIN_LIST_IP_ID,0))&amp;"-"&amp;INDEX(IP_MAIN_END_DATE,MATCH(A97,IP_MAIN_LIST_IP_ID,0))&amp;")"</f>
        <v>#N/A</v>
      </c>
      <c r="G97" s="743"/>
      <c r="H97" s="744"/>
      <c r="I97" s="744"/>
      <c r="J97" s="744"/>
      <c r="K97" s="744"/>
      <c r="L97" s="744"/>
      <c r="M97" s="744"/>
      <c r="N97" s="744"/>
      <c r="O97" s="743"/>
      <c r="P97" s="743"/>
      <c r="Q97" s="743"/>
      <c r="R97" s="743"/>
      <c r="S97" s="743"/>
      <c r="T97" s="743"/>
      <c r="U97" s="745"/>
      <c r="V97" s="745"/>
      <c r="W97" s="745"/>
      <c r="X97" s="745"/>
      <c r="Y97" s="745"/>
      <c r="Z97" s="745"/>
      <c r="AA97" s="745"/>
      <c r="AB97" s="743"/>
      <c r="AC97" s="744"/>
      <c r="AD97" s="744"/>
      <c r="AE97" s="744"/>
      <c r="AF97" s="744"/>
      <c r="AG97" s="744"/>
      <c r="AH97" s="744"/>
      <c r="AI97" s="744"/>
      <c r="AJ97" s="744"/>
      <c r="AK97" s="744"/>
      <c r="AL97" s="744"/>
      <c r="AM97" s="744"/>
      <c r="AN97" s="744"/>
      <c r="AO97" s="744"/>
      <c r="AP97" s="744"/>
      <c r="AQ97" s="744"/>
      <c r="AR97" s="744"/>
      <c r="AS97" s="744"/>
      <c r="AT97" s="744"/>
      <c r="AU97" s="744"/>
      <c r="AV97" s="744"/>
      <c r="AW97" s="744"/>
      <c r="AX97" s="744"/>
      <c r="AY97" s="744"/>
      <c r="AZ97" s="744"/>
      <c r="BA97" s="744"/>
      <c r="BB97" s="744"/>
      <c r="BC97" s="744"/>
      <c r="BD97" s="744"/>
      <c r="BE97" s="744"/>
      <c r="BF97" s="744"/>
      <c r="BG97" s="744"/>
      <c r="BH97" s="744"/>
      <c r="BI97" s="744"/>
      <c r="BJ97" s="744"/>
      <c r="BK97" s="744"/>
      <c r="BL97" s="744"/>
      <c r="BM97" s="744"/>
      <c r="BN97" s="744"/>
      <c r="BO97" s="744"/>
      <c r="BP97" s="744"/>
      <c r="BQ97" s="744"/>
      <c r="BR97" s="744"/>
      <c r="BS97" s="744"/>
      <c r="BT97" s="744"/>
      <c r="BU97" s="744"/>
      <c r="BV97" s="744"/>
      <c r="BW97" s="744"/>
      <c r="BX97" s="744"/>
      <c r="BY97" s="744"/>
      <c r="BZ97" s="744"/>
      <c r="CA97" s="744"/>
      <c r="CB97" s="744"/>
      <c r="CC97" s="744"/>
      <c r="CD97" s="744"/>
      <c r="CE97" s="744"/>
      <c r="CF97" s="744"/>
      <c r="CG97" s="744"/>
      <c r="CH97" s="744"/>
      <c r="CI97" s="744"/>
      <c r="CJ97" s="744"/>
      <c r="CK97" s="744"/>
      <c r="CL97" s="746"/>
      <c r="CM97" s="746"/>
      <c r="CN97" s="746"/>
      <c r="CO97" s="746"/>
      <c r="CP97" s="746"/>
      <c r="CQ97" s="746"/>
      <c r="CR97" s="746"/>
      <c r="CS97" s="746"/>
      <c r="CT97" s="746"/>
      <c r="CU97" s="746"/>
      <c r="CV97" s="746"/>
      <c r="CW97" s="746"/>
      <c r="CX97" s="746"/>
      <c r="CY97" s="746"/>
      <c r="CZ97" s="746"/>
      <c r="DA97" s="746"/>
      <c r="DB97" s="746"/>
      <c r="DC97" s="746"/>
      <c r="DD97" s="746"/>
      <c r="DE97" s="746"/>
      <c r="DF97" s="746"/>
      <c r="DG97" s="746"/>
      <c r="DH97" s="746"/>
      <c r="DI97" s="746"/>
      <c r="DJ97" s="746"/>
      <c r="DK97" s="746"/>
      <c r="DL97" s="746"/>
      <c r="DM97" s="746"/>
      <c r="DN97" s="746"/>
      <c r="DO97" s="746"/>
      <c r="DP97" s="746"/>
      <c r="DQ97" s="746"/>
      <c r="DR97" s="746"/>
      <c r="DS97" s="746"/>
      <c r="DT97" s="746"/>
      <c r="DU97" s="746"/>
      <c r="DV97" s="746"/>
      <c r="DW97" s="746"/>
      <c r="DX97" s="746"/>
      <c r="DY97" s="746"/>
      <c r="DZ97" s="746"/>
      <c r="EA97" s="746"/>
      <c r="EB97" s="746"/>
      <c r="EC97" s="746"/>
      <c r="ED97" s="746"/>
      <c r="EE97" s="746"/>
      <c r="EF97" s="746"/>
      <c r="EG97" s="746"/>
      <c r="EH97" s="746"/>
      <c r="EI97" s="746"/>
      <c r="EJ97" s="746"/>
      <c r="EK97" s="746"/>
      <c r="EL97" s="746"/>
      <c r="EM97" s="746"/>
      <c r="EN97" s="746"/>
      <c r="EO97" s="746"/>
      <c r="EP97" s="746"/>
      <c r="EQ97" s="746"/>
      <c r="ER97" s="746"/>
      <c r="ES97" s="746"/>
      <c r="ET97" s="746"/>
      <c r="EU97" s="746"/>
      <c r="EV97" s="746"/>
      <c r="EW97" s="746"/>
      <c r="EX97" s="746"/>
      <c r="EY97" s="746"/>
      <c r="EZ97" s="746"/>
      <c r="FA97" s="746"/>
      <c r="FB97" s="746"/>
      <c r="FC97" s="746"/>
      <c r="FD97" s="746"/>
      <c r="FE97" s="746"/>
      <c r="FF97" s="746"/>
      <c r="FG97" s="746"/>
      <c r="FH97" s="746"/>
      <c r="FI97" s="746"/>
      <c r="FJ97" s="746"/>
      <c r="FK97" s="746"/>
      <c r="FL97" s="746"/>
      <c r="FM97" s="746"/>
      <c r="FN97" s="746"/>
      <c r="FO97" s="746"/>
      <c r="FP97" s="746"/>
      <c r="FQ97" s="746"/>
      <c r="FR97" s="746"/>
      <c r="FS97" s="746"/>
      <c r="FT97" s="746"/>
      <c r="FU97" s="746"/>
      <c r="FV97" s="747"/>
      <c r="FW97" s="742"/>
      <c r="FX97" s="227"/>
    </row>
    <row r="98" spans="1:184" s="573" customFormat="1" ht="24.75" customHeight="1">
      <c r="B98" s="574"/>
      <c r="E98"/>
      <c r="F98" s="53">
        <v>1</v>
      </c>
      <c r="G98" s="1050"/>
      <c r="H98" s="1051"/>
      <c r="I98" s="753"/>
      <c r="J98" s="748"/>
      <c r="K98" s="748"/>
      <c r="L98" s="748"/>
      <c r="M98" s="748"/>
      <c r="N98" s="748"/>
      <c r="O98" s="749"/>
      <c r="P98" s="749"/>
      <c r="Q98" s="749"/>
      <c r="R98" s="749"/>
      <c r="S98" s="749"/>
      <c r="T98" s="749"/>
      <c r="U98" s="749"/>
      <c r="V98" s="749"/>
      <c r="W98" s="749"/>
      <c r="X98" s="749"/>
      <c r="Y98" s="749"/>
      <c r="Z98" s="749"/>
      <c r="AA98" s="749"/>
      <c r="AB98" s="749"/>
      <c r="AC98" s="748"/>
      <c r="AD98" s="748"/>
      <c r="AE98" s="748"/>
      <c r="AF98" s="748"/>
      <c r="AG98" s="748"/>
      <c r="AH98" s="748"/>
      <c r="AI98" s="748"/>
      <c r="AJ98" s="748"/>
      <c r="AK98" s="748"/>
      <c r="AL98" s="748"/>
      <c r="AM98" s="748"/>
      <c r="AN98" s="748"/>
      <c r="AO98" s="748"/>
      <c r="AP98" s="748"/>
      <c r="AQ98" s="748"/>
      <c r="AR98" s="748"/>
      <c r="AS98" s="748"/>
      <c r="AT98" s="748"/>
      <c r="AU98" s="748"/>
      <c r="AV98" s="748"/>
      <c r="AW98" s="748"/>
      <c r="AX98" s="748"/>
      <c r="AY98" s="748"/>
      <c r="AZ98" s="748"/>
      <c r="BA98" s="748"/>
      <c r="BB98" s="748"/>
      <c r="BC98" s="748"/>
      <c r="BD98" s="748"/>
      <c r="BE98" s="748"/>
      <c r="BF98" s="748"/>
      <c r="BG98" s="748"/>
      <c r="BH98" s="748"/>
      <c r="BI98" s="748"/>
      <c r="BJ98" s="748"/>
      <c r="BK98" s="748"/>
      <c r="BL98" s="748"/>
      <c r="BM98" s="748"/>
      <c r="BN98" s="748"/>
      <c r="BO98" s="748"/>
      <c r="BP98" s="748"/>
      <c r="BQ98" s="748"/>
      <c r="BR98" s="748"/>
      <c r="BS98" s="748"/>
      <c r="BT98" s="750"/>
      <c r="BU98" s="750"/>
      <c r="BV98" s="750"/>
      <c r="BW98" s="750"/>
      <c r="BX98" s="750"/>
      <c r="BY98" s="750"/>
      <c r="BZ98" s="750"/>
      <c r="CA98" s="750"/>
      <c r="CB98" s="750"/>
      <c r="CC98" s="750"/>
      <c r="CD98" s="750"/>
      <c r="CE98" s="750"/>
      <c r="CF98" s="750"/>
      <c r="CG98" s="750"/>
      <c r="CH98" s="750"/>
      <c r="CI98" s="750"/>
      <c r="CJ98" s="750"/>
      <c r="CK98" s="750"/>
      <c r="CL98" s="748"/>
      <c r="CM98" s="748"/>
      <c r="CN98" s="748"/>
      <c r="CO98" s="748"/>
      <c r="CP98" s="748"/>
      <c r="CQ98" s="748"/>
      <c r="CR98" s="748"/>
      <c r="CS98" s="748"/>
      <c r="CT98" s="748"/>
      <c r="CU98" s="748"/>
      <c r="CV98" s="748"/>
      <c r="CW98" s="748"/>
      <c r="CX98" s="748"/>
      <c r="CY98" s="749"/>
      <c r="CZ98" s="749"/>
      <c r="DA98" s="749"/>
      <c r="DB98" s="749"/>
      <c r="DC98" s="749"/>
      <c r="DD98" s="749"/>
      <c r="DE98" s="749"/>
      <c r="DF98" s="749"/>
      <c r="DG98" s="749"/>
      <c r="DH98" s="749"/>
      <c r="DI98" s="749"/>
      <c r="DJ98" s="749"/>
      <c r="DK98" s="748"/>
      <c r="DL98" s="748"/>
      <c r="DM98" s="748"/>
      <c r="DN98" s="748"/>
      <c r="DO98" s="748"/>
      <c r="DP98" s="748"/>
      <c r="DQ98" s="748"/>
      <c r="DR98" s="748"/>
      <c r="DS98" s="748"/>
      <c r="DT98" s="748"/>
      <c r="DU98" s="748"/>
      <c r="DV98" s="748"/>
      <c r="DW98" s="748"/>
      <c r="DX98" s="748"/>
      <c r="DY98" s="748"/>
      <c r="DZ98" s="748"/>
      <c r="EA98" s="748"/>
      <c r="EB98" s="748"/>
      <c r="EC98" s="748"/>
      <c r="ED98" s="748"/>
      <c r="EE98" s="748"/>
      <c r="EF98" s="748"/>
      <c r="EG98" s="748"/>
      <c r="EH98" s="748"/>
      <c r="EI98" s="748"/>
      <c r="EJ98" s="748"/>
      <c r="EK98" s="748"/>
      <c r="EL98" s="748"/>
      <c r="EM98" s="748"/>
      <c r="EN98" s="748"/>
      <c r="EO98" s="748"/>
      <c r="EP98" s="748"/>
      <c r="EQ98" s="748"/>
      <c r="ER98" s="748"/>
      <c r="ES98" s="748"/>
      <c r="ET98" s="748"/>
      <c r="EU98" s="748"/>
      <c r="EV98" s="748"/>
      <c r="EW98" s="748"/>
      <c r="EX98" s="748"/>
      <c r="EY98" s="748"/>
      <c r="EZ98" s="748"/>
      <c r="FA98" s="748"/>
      <c r="FB98" s="748"/>
      <c r="FC98" s="748"/>
      <c r="FD98" s="748"/>
      <c r="FE98" s="748"/>
      <c r="FF98" s="748"/>
      <c r="FG98" s="748"/>
      <c r="FH98" s="748"/>
      <c r="FI98" s="748"/>
      <c r="FJ98" s="748"/>
      <c r="FK98" s="748"/>
      <c r="FL98" s="748"/>
      <c r="FM98" s="748"/>
      <c r="FN98" s="748"/>
      <c r="FO98" s="748"/>
      <c r="FP98" s="748"/>
      <c r="FQ98" s="748"/>
      <c r="FR98" s="748"/>
      <c r="FS98" s="748"/>
      <c r="FT98" s="748"/>
      <c r="FU98" s="748"/>
      <c r="FV98" s="748"/>
      <c r="FW98" s="748"/>
      <c r="FX98" s="227"/>
    </row>
    <row r="99" spans="1:184" s="573" customFormat="1" ht="12" customHeight="1">
      <c r="B99" s="574"/>
      <c r="F99" s="751"/>
      <c r="G99" s="733" t="s">
        <v>1418</v>
      </c>
      <c r="H99" s="733"/>
      <c r="I99" s="733"/>
      <c r="J99" s="733"/>
      <c r="K99" s="733"/>
      <c r="L99" s="733"/>
      <c r="M99" s="733"/>
      <c r="N99" s="733"/>
      <c r="O99" s="733"/>
      <c r="P99" s="733"/>
      <c r="Q99" s="733"/>
      <c r="R99" s="733"/>
      <c r="S99" s="733"/>
      <c r="T99" s="733"/>
      <c r="U99" s="733"/>
      <c r="V99" s="733"/>
      <c r="W99" s="733"/>
      <c r="X99" s="733"/>
      <c r="Y99" s="733"/>
      <c r="Z99" s="733"/>
      <c r="AA99" s="733"/>
      <c r="AB99" s="733"/>
      <c r="AC99" s="733"/>
      <c r="AD99" s="733"/>
      <c r="AE99" s="733"/>
      <c r="AF99" s="733"/>
      <c r="AG99" s="733"/>
      <c r="AH99" s="733"/>
      <c r="AI99" s="733"/>
      <c r="AJ99" s="733"/>
      <c r="AK99" s="733"/>
      <c r="AL99" s="733"/>
      <c r="AM99" s="733"/>
      <c r="AN99" s="733"/>
      <c r="AO99" s="733"/>
      <c r="AP99" s="733"/>
      <c r="AQ99" s="733"/>
      <c r="AR99" s="733"/>
      <c r="AS99" s="733"/>
      <c r="AT99" s="733"/>
      <c r="AU99" s="733"/>
      <c r="AV99" s="733"/>
      <c r="AW99" s="733"/>
      <c r="AX99" s="733"/>
      <c r="AY99" s="733"/>
      <c r="AZ99" s="733"/>
      <c r="BA99" s="733"/>
      <c r="BB99" s="733"/>
      <c r="BC99" s="733"/>
      <c r="BD99" s="733"/>
      <c r="BE99" s="733"/>
      <c r="BF99" s="733"/>
      <c r="BG99" s="733"/>
      <c r="BH99" s="733"/>
      <c r="BI99" s="733"/>
      <c r="BJ99" s="733"/>
      <c r="BK99" s="733"/>
      <c r="BL99" s="733"/>
      <c r="BM99" s="733"/>
      <c r="BN99" s="733"/>
      <c r="BO99" s="733"/>
      <c r="BP99" s="733"/>
      <c r="BQ99" s="733"/>
      <c r="BR99" s="733"/>
      <c r="BS99" s="733"/>
      <c r="BT99" s="733"/>
      <c r="BU99" s="733"/>
      <c r="BV99" s="733"/>
      <c r="BW99" s="733"/>
      <c r="BX99" s="733"/>
      <c r="BY99" s="733"/>
      <c r="BZ99" s="733"/>
      <c r="CA99" s="733"/>
      <c r="CB99" s="733"/>
      <c r="CC99" s="733"/>
      <c r="CD99" s="733"/>
      <c r="CE99" s="733"/>
      <c r="CF99" s="733"/>
      <c r="CG99" s="733"/>
      <c r="CH99" s="733"/>
      <c r="CI99" s="733"/>
      <c r="CJ99" s="733"/>
      <c r="CK99" s="733"/>
      <c r="CL99" s="733"/>
      <c r="CM99" s="733"/>
      <c r="CN99" s="733"/>
      <c r="CO99" s="733"/>
      <c r="CP99" s="733"/>
      <c r="CQ99" s="733"/>
      <c r="CR99" s="733"/>
      <c r="CS99" s="733"/>
      <c r="CT99" s="733"/>
      <c r="CU99" s="733"/>
      <c r="CV99" s="733"/>
      <c r="CW99" s="733"/>
      <c r="CX99" s="733"/>
      <c r="CY99" s="733"/>
      <c r="CZ99" s="733"/>
      <c r="DA99" s="733"/>
      <c r="DB99" s="733"/>
      <c r="DC99" s="733"/>
      <c r="DD99" s="733"/>
      <c r="DE99" s="733"/>
      <c r="DF99" s="733"/>
      <c r="DG99" s="733"/>
      <c r="DH99" s="733"/>
      <c r="DI99" s="733"/>
      <c r="DJ99" s="733"/>
      <c r="DK99" s="733"/>
      <c r="DL99" s="733"/>
      <c r="DM99" s="733"/>
      <c r="DN99" s="733"/>
      <c r="DO99" s="733"/>
      <c r="DP99" s="733"/>
      <c r="DQ99" s="733"/>
      <c r="DR99" s="733"/>
      <c r="DS99" s="733"/>
      <c r="DT99" s="733"/>
      <c r="DU99" s="733"/>
      <c r="DV99" s="733"/>
      <c r="DW99" s="733"/>
      <c r="DX99" s="733"/>
      <c r="DY99" s="733"/>
      <c r="DZ99" s="733"/>
      <c r="EA99" s="733"/>
      <c r="EB99" s="733"/>
      <c r="EC99" s="733"/>
      <c r="ED99" s="733"/>
      <c r="EE99" s="733"/>
      <c r="EF99" s="733"/>
      <c r="EG99" s="733"/>
      <c r="EH99" s="733"/>
      <c r="EI99" s="733"/>
      <c r="EJ99" s="733"/>
      <c r="EK99" s="733"/>
      <c r="EL99" s="733"/>
      <c r="EM99" s="733"/>
      <c r="EN99" s="733"/>
      <c r="EO99" s="733"/>
      <c r="EP99" s="733"/>
      <c r="EQ99" s="733"/>
      <c r="ER99" s="733"/>
      <c r="ES99" s="733"/>
      <c r="ET99" s="733"/>
      <c r="EU99" s="733"/>
      <c r="EV99" s="733"/>
      <c r="EW99" s="733"/>
      <c r="EX99" s="733"/>
      <c r="EY99" s="733"/>
      <c r="EZ99" s="733"/>
      <c r="FA99" s="733"/>
      <c r="FB99" s="733"/>
      <c r="FC99" s="733"/>
      <c r="FD99" s="733"/>
      <c r="FE99" s="733"/>
      <c r="FF99" s="733"/>
      <c r="FG99" s="733"/>
      <c r="FH99" s="733"/>
      <c r="FI99" s="733"/>
      <c r="FJ99" s="733"/>
      <c r="FK99" s="733"/>
      <c r="FL99" s="733"/>
      <c r="FM99" s="733"/>
      <c r="FN99" s="733"/>
      <c r="FO99" s="733"/>
      <c r="FP99" s="733"/>
      <c r="FQ99" s="733"/>
      <c r="FR99" s="733"/>
      <c r="FS99" s="733"/>
      <c r="FT99" s="733"/>
      <c r="FU99" s="733"/>
      <c r="FV99" s="733"/>
      <c r="FW99" s="752"/>
      <c r="FX99" s="43"/>
      <c r="FY99" s="67"/>
      <c r="FZ99" s="67"/>
      <c r="GA99" s="67"/>
      <c r="GB99" s="67"/>
    </row>
    <row r="100" spans="1:184" ht="17.25" customHeight="1"/>
    <row r="101" spans="1:184" s="23" customFormat="1" ht="11.25" customHeight="1">
      <c r="A101" s="23" t="s">
        <v>1419</v>
      </c>
    </row>
    <row r="102" spans="1:184" ht="17.25" customHeight="1"/>
    <row r="103" spans="1:184" ht="15" customHeight="1">
      <c r="A103" s="40"/>
      <c r="D103" s="1265" t="s">
        <v>109</v>
      </c>
      <c r="E103" s="1268" t="s">
        <v>105</v>
      </c>
      <c r="F103" s="1269"/>
      <c r="G103" s="1270"/>
      <c r="H103" s="1271" t="str">
        <f>IF(A103="","",INDEX(DIFFERENTIATION_UNMERGE_VD,MATCH(A103,DIFFERENTIATION_ID_DIFF,0)))</f>
        <v/>
      </c>
      <c r="I103" s="1271"/>
      <c r="J103" s="1271"/>
      <c r="K103" s="1271"/>
      <c r="L103" s="1271"/>
      <c r="M103" s="1271"/>
      <c r="N103" s="1271"/>
      <c r="O103" s="1271"/>
      <c r="P103" s="1271"/>
      <c r="Q103" s="1271"/>
      <c r="R103" s="1271"/>
      <c r="S103" s="442"/>
      <c r="T103" s="440"/>
      <c r="U103" s="111"/>
      <c r="V103" s="111"/>
      <c r="W103" s="71"/>
      <c r="X103" s="71"/>
      <c r="Y103" s="71"/>
      <c r="Z103" s="71"/>
      <c r="AA103" s="111"/>
      <c r="AB103" s="71"/>
      <c r="AC103" s="1280"/>
      <c r="AD103" s="71"/>
      <c r="AE103" s="385" t="s">
        <v>17</v>
      </c>
      <c r="AF103" s="385"/>
      <c r="AG103" s="386" t="s">
        <v>1420</v>
      </c>
      <c r="AH103" s="387">
        <v>3</v>
      </c>
      <c r="AI103" s="111"/>
      <c r="AJ103" s="111"/>
      <c r="AK103" s="111"/>
      <c r="AL103" s="111"/>
      <c r="AM103" s="111"/>
      <c r="AN103" s="111"/>
      <c r="AO103" s="111"/>
      <c r="AP103" s="111"/>
      <c r="AQ103" s="111"/>
      <c r="AR103" s="111"/>
      <c r="AS103" s="111"/>
      <c r="AT103" s="111"/>
      <c r="AU103" s="111"/>
      <c r="AV103" s="111"/>
      <c r="AW103" s="111"/>
      <c r="AX103" s="111"/>
      <c r="AY103" s="111"/>
      <c r="AZ103" s="111"/>
      <c r="BA103" s="111"/>
      <c r="BB103" s="111"/>
      <c r="BC103" s="111"/>
      <c r="BD103" s="111"/>
      <c r="BE103" s="111"/>
      <c r="BF103" s="111"/>
      <c r="BG103" s="111"/>
      <c r="BH103" s="111"/>
      <c r="BI103" s="111"/>
      <c r="BJ103" s="111"/>
      <c r="BK103" s="111"/>
      <c r="BL103" s="111"/>
      <c r="BM103" s="111"/>
      <c r="BN103" s="111"/>
      <c r="BO103" s="111"/>
      <c r="BP103" s="111"/>
      <c r="BQ103" s="111"/>
      <c r="BR103" s="111"/>
      <c r="BS103" s="111"/>
      <c r="BT103" s="111"/>
      <c r="BU103" s="111"/>
      <c r="BV103" s="71"/>
      <c r="BW103" s="71"/>
      <c r="BX103" s="71"/>
      <c r="BY103" s="71"/>
      <c r="BZ103" s="71"/>
      <c r="CA103" s="71"/>
      <c r="CB103" s="71"/>
      <c r="CC103" s="71"/>
      <c r="CD103" s="71"/>
      <c r="CE103" s="71"/>
    </row>
    <row r="104" spans="1:184" ht="15" customHeight="1">
      <c r="A104" s="40"/>
      <c r="D104" s="1266"/>
      <c r="E104" s="1268" t="s">
        <v>1421</v>
      </c>
      <c r="F104" s="1269"/>
      <c r="G104" s="1270"/>
      <c r="H104" s="1271" t="str">
        <f>IF(A103="","",INDEX(DIFFERENTIATION_UNMERGE_AREA,MATCH(A103,DIFFERENTIATION_ID_DIFF,0)))</f>
        <v/>
      </c>
      <c r="I104" s="1271"/>
      <c r="J104" s="1271"/>
      <c r="K104" s="1271"/>
      <c r="L104" s="1271"/>
      <c r="M104" s="1271"/>
      <c r="N104" s="1271"/>
      <c r="O104" s="1271"/>
      <c r="P104" s="1271"/>
      <c r="Q104" s="1271"/>
      <c r="R104" s="1271"/>
      <c r="S104" s="442"/>
      <c r="T104" s="440"/>
      <c r="U104" s="111"/>
      <c r="V104" s="111"/>
      <c r="W104" s="71"/>
      <c r="X104" s="71"/>
      <c r="Y104" s="71"/>
      <c r="Z104" s="71"/>
      <c r="AA104" s="111"/>
      <c r="AB104" s="71"/>
      <c r="AC104" s="1280"/>
      <c r="AD104" s="71"/>
      <c r="AE104" s="385"/>
      <c r="AF104" s="385"/>
      <c r="AG104" s="386"/>
      <c r="AH104" s="387"/>
      <c r="AI104" s="111"/>
      <c r="AJ104" s="111"/>
      <c r="AK104" s="111"/>
      <c r="AL104" s="111"/>
      <c r="AM104" s="111"/>
      <c r="AN104" s="111"/>
      <c r="AO104" s="111"/>
      <c r="AP104" s="111"/>
      <c r="AQ104" s="111"/>
      <c r="AR104" s="111"/>
      <c r="AS104" s="111"/>
      <c r="AT104" s="111"/>
      <c r="AU104" s="111"/>
      <c r="AV104" s="111"/>
      <c r="AW104" s="111"/>
      <c r="AX104" s="111"/>
      <c r="AY104" s="111"/>
      <c r="AZ104" s="111"/>
      <c r="BA104" s="111"/>
      <c r="BB104" s="111"/>
      <c r="BC104" s="111"/>
      <c r="BD104" s="111"/>
      <c r="BE104" s="111"/>
      <c r="BF104" s="111"/>
      <c r="BG104" s="111"/>
      <c r="BH104" s="111"/>
      <c r="BI104" s="111"/>
      <c r="BJ104" s="111"/>
      <c r="BK104" s="111"/>
      <c r="BL104" s="111"/>
      <c r="BM104" s="111"/>
      <c r="BN104" s="111"/>
      <c r="BO104" s="111"/>
      <c r="BP104" s="111"/>
      <c r="BQ104" s="111"/>
      <c r="BR104" s="111"/>
      <c r="BS104" s="111"/>
      <c r="BT104" s="111"/>
      <c r="BU104" s="111"/>
      <c r="BV104" s="71"/>
      <c r="BW104" s="71"/>
      <c r="BX104" s="71"/>
      <c r="BY104" s="71"/>
      <c r="BZ104" s="71"/>
      <c r="CA104" s="71"/>
      <c r="CB104" s="71"/>
      <c r="CC104" s="71"/>
      <c r="CD104" s="71"/>
      <c r="CE104" s="71"/>
    </row>
    <row r="105" spans="1:184" ht="15" customHeight="1">
      <c r="A105" s="40"/>
      <c r="D105" s="1266"/>
      <c r="E105" s="1268" t="s">
        <v>1422</v>
      </c>
      <c r="F105" s="1269"/>
      <c r="G105" s="1270"/>
      <c r="H105" s="1271" t="str">
        <f>IF(A103="","",INDEX(DIFFERENTIATION_UNMERGE_SYSTEM,MATCH(A103,DIFFERENTIATION_ID_DIFF,0)))</f>
        <v/>
      </c>
      <c r="I105" s="1271"/>
      <c r="J105" s="1271"/>
      <c r="K105" s="1271"/>
      <c r="L105" s="1271"/>
      <c r="M105" s="1271"/>
      <c r="N105" s="1271"/>
      <c r="O105" s="1271"/>
      <c r="P105" s="1271"/>
      <c r="Q105" s="1271"/>
      <c r="R105" s="1271"/>
      <c r="S105" s="442"/>
      <c r="T105" s="440"/>
      <c r="U105" s="111"/>
      <c r="V105" s="111"/>
      <c r="W105" s="71"/>
      <c r="X105" s="71"/>
      <c r="Y105" s="71"/>
      <c r="Z105" s="71"/>
      <c r="AA105" s="111"/>
      <c r="AB105" s="71"/>
      <c r="AC105" s="1280"/>
      <c r="AD105" s="71"/>
      <c r="AE105" s="385"/>
      <c r="AF105" s="385"/>
      <c r="AG105" s="386"/>
      <c r="AH105" s="387"/>
      <c r="AI105" s="111"/>
      <c r="AJ105" s="111"/>
      <c r="AK105" s="111"/>
      <c r="AL105" s="111"/>
      <c r="AM105" s="111"/>
      <c r="AN105" s="111"/>
      <c r="AO105" s="111"/>
      <c r="AP105" s="111"/>
      <c r="AQ105" s="111"/>
      <c r="AR105" s="111"/>
      <c r="AS105" s="111"/>
      <c r="AT105" s="111"/>
      <c r="AU105" s="111"/>
      <c r="AV105" s="111"/>
      <c r="AW105" s="111"/>
      <c r="AX105" s="111"/>
      <c r="AY105" s="111"/>
      <c r="AZ105" s="111"/>
      <c r="BA105" s="111"/>
      <c r="BB105" s="111"/>
      <c r="BC105" s="111"/>
      <c r="BD105" s="111"/>
      <c r="BE105" s="111"/>
      <c r="BF105" s="111"/>
      <c r="BG105" s="111"/>
      <c r="BH105" s="111"/>
      <c r="BI105" s="111"/>
      <c r="BJ105" s="111"/>
      <c r="BK105" s="111"/>
      <c r="BL105" s="111"/>
      <c r="BM105" s="111"/>
      <c r="BN105" s="111"/>
      <c r="BO105" s="111"/>
      <c r="BP105" s="111"/>
      <c r="BQ105" s="111"/>
      <c r="BR105" s="111"/>
      <c r="BS105" s="111"/>
      <c r="BT105" s="111"/>
      <c r="BU105" s="111"/>
      <c r="BV105" s="71"/>
      <c r="BW105" s="71"/>
      <c r="BX105" s="71"/>
      <c r="BY105" s="71"/>
      <c r="BZ105" s="71"/>
      <c r="CA105" s="71"/>
      <c r="CB105" s="71"/>
      <c r="CC105" s="71"/>
      <c r="CD105" s="71"/>
      <c r="CE105" s="71"/>
    </row>
    <row r="106" spans="1:184" ht="24.75" customHeight="1">
      <c r="A106" s="388"/>
      <c r="B106" s="72"/>
      <c r="C106" s="257"/>
      <c r="D106" s="1266"/>
      <c r="E106" s="1286" t="s">
        <v>1423</v>
      </c>
      <c r="F106" s="1286"/>
      <c r="G106" s="1286"/>
      <c r="H106" s="1286"/>
      <c r="I106" s="1286"/>
      <c r="J106" s="1286"/>
      <c r="K106" s="1286"/>
      <c r="L106" s="1286"/>
      <c r="M106" s="1286"/>
      <c r="N106" s="1286"/>
      <c r="O106" s="1286"/>
      <c r="P106" s="1286"/>
      <c r="Q106" s="347">
        <f>SUMIF(T107:T108,"i",Q107:Q108)</f>
        <v>0</v>
      </c>
      <c r="R106" s="637"/>
      <c r="S106" s="157" t="s">
        <v>1424</v>
      </c>
      <c r="T106" s="440" t="s">
        <v>1425</v>
      </c>
      <c r="U106" s="1259">
        <v>1</v>
      </c>
      <c r="V106" s="1259" t="s">
        <v>1426</v>
      </c>
      <c r="W106" s="72"/>
      <c r="X106" s="72"/>
      <c r="Y106" s="72"/>
      <c r="Z106" s="72"/>
      <c r="AA106" s="77"/>
      <c r="AB106" s="72"/>
      <c r="AC106" s="1280"/>
      <c r="AD106" s="71"/>
      <c r="AE106" s="72"/>
      <c r="AF106" s="72"/>
      <c r="AG106" s="77"/>
      <c r="AH106" s="77"/>
      <c r="AI106" s="77"/>
      <c r="AJ106" s="77"/>
      <c r="AK106" s="77"/>
      <c r="AL106" s="77"/>
      <c r="AM106" s="77"/>
      <c r="AN106" s="77"/>
      <c r="AO106" s="77"/>
      <c r="AP106" s="77"/>
      <c r="AQ106" s="77"/>
      <c r="AR106" s="77"/>
      <c r="AS106" s="77"/>
      <c r="AT106" s="77"/>
      <c r="AU106" s="77"/>
      <c r="AV106" s="77"/>
      <c r="AW106" s="77"/>
      <c r="AX106" s="77"/>
      <c r="AY106" s="77"/>
      <c r="AZ106" s="77"/>
      <c r="BA106" s="77"/>
      <c r="BB106" s="77"/>
      <c r="BC106" s="77"/>
      <c r="BD106" s="77"/>
      <c r="BE106" s="77"/>
      <c r="BF106" s="77"/>
      <c r="BG106" s="77"/>
      <c r="BH106" s="77"/>
      <c r="BI106" s="77"/>
      <c r="BJ106" s="77"/>
      <c r="BK106" s="77"/>
      <c r="BL106" s="77"/>
      <c r="BM106" s="77"/>
      <c r="BN106" s="77"/>
      <c r="BO106" s="77"/>
      <c r="BP106" s="77"/>
      <c r="BQ106" s="77"/>
      <c r="BR106" s="77"/>
      <c r="BS106" s="77"/>
      <c r="BT106" s="77"/>
      <c r="BU106" s="77"/>
      <c r="BV106" s="72"/>
      <c r="BW106" s="72"/>
      <c r="BX106" s="72"/>
      <c r="BY106" s="72"/>
      <c r="BZ106" s="72"/>
      <c r="CA106" s="72"/>
      <c r="CB106" s="72"/>
      <c r="CC106" s="72"/>
      <c r="CD106" s="72"/>
      <c r="CE106" s="72"/>
    </row>
    <row r="107" spans="1:184" ht="11.25" hidden="1" customHeight="1">
      <c r="A107" s="127"/>
      <c r="B107" s="77"/>
      <c r="C107" s="77"/>
      <c r="D107" s="1266"/>
      <c r="E107" s="389"/>
      <c r="F107" s="389">
        <v>0</v>
      </c>
      <c r="G107" s="389"/>
      <c r="H107" s="389"/>
      <c r="I107" s="389"/>
      <c r="J107" s="389"/>
      <c r="K107" s="389"/>
      <c r="L107" s="389"/>
      <c r="M107" s="389"/>
      <c r="N107" s="389"/>
      <c r="O107" s="389"/>
      <c r="P107" s="389"/>
      <c r="Q107" s="389"/>
      <c r="R107" s="389"/>
      <c r="S107" s="342"/>
      <c r="T107" s="441"/>
      <c r="U107" s="1259"/>
      <c r="V107" s="1259"/>
      <c r="W107" s="77"/>
      <c r="X107" s="77"/>
      <c r="Y107" s="77"/>
      <c r="Z107" s="77"/>
      <c r="AA107" s="77"/>
      <c r="AB107" s="72"/>
      <c r="AC107" s="1280"/>
      <c r="AD107" s="71"/>
      <c r="AE107" s="72"/>
      <c r="AF107" s="72"/>
      <c r="AG107" s="77"/>
      <c r="AH107" s="77"/>
      <c r="AI107" s="77"/>
      <c r="AJ107" s="77"/>
      <c r="AK107" s="77"/>
      <c r="AL107" s="77"/>
      <c r="AM107" s="77"/>
      <c r="AN107" s="77"/>
      <c r="AO107" s="77"/>
      <c r="AP107" s="77"/>
      <c r="AQ107" s="77"/>
      <c r="AR107" s="77"/>
      <c r="AS107" s="77"/>
      <c r="AT107" s="77"/>
      <c r="AU107" s="77"/>
      <c r="AV107" s="77"/>
      <c r="AW107" s="77"/>
      <c r="AX107" s="77"/>
      <c r="AY107" s="77"/>
      <c r="AZ107" s="77"/>
      <c r="BA107" s="77"/>
      <c r="BB107" s="77"/>
      <c r="BC107" s="77"/>
      <c r="BD107" s="77"/>
      <c r="BE107" s="77"/>
      <c r="BF107" s="77"/>
      <c r="BG107" s="77"/>
      <c r="BH107" s="77"/>
      <c r="BI107" s="77"/>
      <c r="BJ107" s="77"/>
      <c r="BK107" s="77"/>
      <c r="BL107" s="77"/>
      <c r="BM107" s="77"/>
      <c r="BN107" s="77"/>
      <c r="BO107" s="77"/>
      <c r="BP107" s="77"/>
      <c r="BQ107" s="77"/>
      <c r="BR107" s="77"/>
      <c r="BS107" s="77"/>
      <c r="BT107" s="77"/>
      <c r="BU107" s="77"/>
      <c r="BV107" s="77"/>
      <c r="BW107" s="77"/>
      <c r="BX107" s="77"/>
      <c r="BY107" s="77"/>
      <c r="BZ107" s="77"/>
      <c r="CA107" s="77"/>
      <c r="CB107" s="77"/>
      <c r="CC107" s="77"/>
      <c r="CD107" s="77"/>
      <c r="CE107" s="77"/>
    </row>
    <row r="108" spans="1:184" ht="11.25" customHeight="1">
      <c r="A108" s="388"/>
      <c r="B108" s="72"/>
      <c r="C108" s="257"/>
      <c r="D108" s="1266"/>
      <c r="E108" s="195" t="s">
        <v>17</v>
      </c>
      <c r="F108" s="116" t="s">
        <v>17</v>
      </c>
      <c r="G108" s="116" t="s">
        <v>1427</v>
      </c>
      <c r="H108" s="62" t="s">
        <v>17</v>
      </c>
      <c r="I108" s="62"/>
      <c r="J108" s="62"/>
      <c r="K108" s="62"/>
      <c r="L108" s="62"/>
      <c r="M108" s="62"/>
      <c r="N108" s="62"/>
      <c r="O108" s="62"/>
      <c r="P108" s="62"/>
      <c r="Q108" s="62"/>
      <c r="R108" s="379"/>
      <c r="S108" s="397"/>
      <c r="T108" s="441"/>
      <c r="U108" s="1259"/>
      <c r="V108" s="1259"/>
      <c r="W108" s="72"/>
      <c r="X108" s="72"/>
      <c r="Y108" s="72"/>
      <c r="Z108" s="72"/>
      <c r="AA108" s="77"/>
      <c r="AB108" s="72"/>
      <c r="AC108" s="1280"/>
      <c r="AD108" s="71"/>
      <c r="AE108" s="72"/>
      <c r="AF108" s="72"/>
      <c r="AG108" s="77"/>
      <c r="AH108" s="77"/>
      <c r="AI108" s="77"/>
      <c r="AJ108" s="77"/>
      <c r="AK108" s="77"/>
      <c r="AL108" s="77"/>
      <c r="AM108" s="77"/>
      <c r="AN108" s="77"/>
      <c r="AO108" s="77"/>
      <c r="AP108" s="77"/>
      <c r="AQ108" s="77"/>
      <c r="AR108" s="77"/>
      <c r="AS108" s="77"/>
      <c r="AT108" s="77"/>
      <c r="AU108" s="77"/>
      <c r="AV108" s="77"/>
      <c r="AW108" s="77"/>
      <c r="AX108" s="77"/>
      <c r="AY108" s="77"/>
      <c r="AZ108" s="77"/>
      <c r="BA108" s="77"/>
      <c r="BB108" s="77"/>
      <c r="BC108" s="77"/>
      <c r="BD108" s="77"/>
      <c r="BE108" s="77"/>
      <c r="BF108" s="77"/>
      <c r="BG108" s="77"/>
      <c r="BH108" s="77"/>
      <c r="BI108" s="77"/>
      <c r="BJ108" s="77"/>
      <c r="BK108" s="77"/>
      <c r="BL108" s="77"/>
      <c r="BM108" s="77"/>
      <c r="BN108" s="77"/>
      <c r="BO108" s="77"/>
      <c r="BP108" s="77"/>
      <c r="BQ108" s="77"/>
      <c r="BR108" s="77"/>
      <c r="BS108" s="77"/>
      <c r="BT108" s="77"/>
      <c r="BU108" s="77"/>
      <c r="BV108" s="72"/>
      <c r="BW108" s="72"/>
      <c r="BX108" s="72"/>
      <c r="BY108" s="72"/>
      <c r="BZ108" s="72"/>
      <c r="CA108" s="72"/>
      <c r="CB108" s="72"/>
      <c r="CC108" s="72"/>
      <c r="CD108" s="72"/>
      <c r="CE108" s="72"/>
    </row>
    <row r="109" spans="1:184" ht="24.75" customHeight="1">
      <c r="A109" s="388"/>
      <c r="B109" s="72"/>
      <c r="C109" s="257"/>
      <c r="D109" s="1266"/>
      <c r="E109" s="1286" t="s">
        <v>1428</v>
      </c>
      <c r="F109" s="1286"/>
      <c r="G109" s="1286"/>
      <c r="H109" s="1286"/>
      <c r="I109" s="1286"/>
      <c r="J109" s="1286"/>
      <c r="K109" s="1286"/>
      <c r="L109" s="1286"/>
      <c r="M109" s="1286"/>
      <c r="N109" s="1286"/>
      <c r="O109" s="1286"/>
      <c r="P109" s="1286"/>
      <c r="Q109" s="347">
        <f>SUMIF(T110:T111,"i",Q110:Q111)</f>
        <v>0</v>
      </c>
      <c r="R109" s="637"/>
      <c r="S109" s="157" t="s">
        <v>1429</v>
      </c>
      <c r="T109" s="440" t="s">
        <v>1425</v>
      </c>
      <c r="U109" s="1259">
        <v>1</v>
      </c>
      <c r="V109" s="1259" t="s">
        <v>1426</v>
      </c>
      <c r="W109" s="72"/>
      <c r="X109" s="72"/>
      <c r="Y109" s="72"/>
      <c r="Z109" s="72"/>
      <c r="AA109" s="77"/>
      <c r="AB109" s="72"/>
      <c r="AC109" s="433"/>
      <c r="AD109" s="71"/>
      <c r="AE109" s="72"/>
      <c r="AF109" s="72"/>
      <c r="AG109" s="77"/>
      <c r="AH109" s="77"/>
      <c r="AI109" s="77"/>
      <c r="AJ109" s="77"/>
      <c r="AK109" s="77"/>
      <c r="AL109" s="77"/>
      <c r="AM109" s="77"/>
      <c r="AN109" s="77"/>
      <c r="AO109" s="77"/>
      <c r="AP109" s="77"/>
      <c r="AQ109" s="77"/>
      <c r="AR109" s="77"/>
      <c r="AS109" s="77"/>
      <c r="AT109" s="77"/>
      <c r="AU109" s="77"/>
      <c r="AV109" s="77"/>
      <c r="AW109" s="77"/>
      <c r="AX109" s="77"/>
      <c r="AY109" s="77"/>
      <c r="AZ109" s="77"/>
      <c r="BA109" s="77"/>
      <c r="BB109" s="77"/>
      <c r="BC109" s="77"/>
      <c r="BD109" s="77"/>
      <c r="BE109" s="77"/>
      <c r="BF109" s="77"/>
      <c r="BG109" s="77"/>
      <c r="BH109" s="77"/>
      <c r="BI109" s="77"/>
      <c r="BJ109" s="77"/>
      <c r="BK109" s="77"/>
      <c r="BL109" s="77"/>
      <c r="BM109" s="77"/>
      <c r="BN109" s="77"/>
      <c r="BO109" s="77"/>
      <c r="BP109" s="77"/>
      <c r="BQ109" s="77"/>
      <c r="BR109" s="77"/>
      <c r="BS109" s="77"/>
      <c r="BT109" s="77"/>
      <c r="BU109" s="77"/>
      <c r="BV109" s="72"/>
      <c r="BW109" s="72"/>
      <c r="BX109" s="72"/>
      <c r="BY109" s="72"/>
      <c r="BZ109" s="72"/>
      <c r="CA109" s="72"/>
      <c r="CB109" s="72"/>
      <c r="CC109" s="72"/>
      <c r="CD109" s="72"/>
      <c r="CE109" s="72"/>
    </row>
    <row r="110" spans="1:184" ht="11.25" hidden="1" customHeight="1">
      <c r="A110" s="127"/>
      <c r="B110" s="77"/>
      <c r="C110" s="77"/>
      <c r="D110" s="1266"/>
      <c r="E110" s="389"/>
      <c r="F110" s="389">
        <v>0</v>
      </c>
      <c r="G110" s="389"/>
      <c r="H110" s="389"/>
      <c r="I110" s="389"/>
      <c r="J110" s="389"/>
      <c r="K110" s="389"/>
      <c r="L110" s="389"/>
      <c r="M110" s="389"/>
      <c r="N110" s="389"/>
      <c r="O110" s="389"/>
      <c r="P110" s="389"/>
      <c r="Q110" s="389"/>
      <c r="R110" s="389"/>
      <c r="S110" s="342"/>
      <c r="T110" s="441"/>
      <c r="U110" s="1259"/>
      <c r="V110" s="1259"/>
      <c r="W110" s="77"/>
      <c r="X110" s="77"/>
      <c r="Y110" s="77"/>
      <c r="Z110" s="77"/>
      <c r="AA110" s="77"/>
      <c r="AB110" s="72"/>
      <c r="AC110" s="433"/>
      <c r="AD110" s="71"/>
      <c r="AE110" s="72"/>
      <c r="AF110" s="72"/>
      <c r="AG110" s="77"/>
      <c r="AH110" s="77"/>
      <c r="AI110" s="77"/>
      <c r="AJ110" s="77"/>
      <c r="AK110" s="77"/>
      <c r="AL110" s="77"/>
      <c r="AM110" s="77"/>
      <c r="AN110" s="77"/>
      <c r="AO110" s="77"/>
      <c r="AP110" s="77"/>
      <c r="AQ110" s="77"/>
      <c r="AR110" s="77"/>
      <c r="AS110" s="77"/>
      <c r="AT110" s="77"/>
      <c r="AU110" s="77"/>
      <c r="AV110" s="77"/>
      <c r="AW110" s="77"/>
      <c r="AX110" s="77"/>
      <c r="AY110" s="77"/>
      <c r="AZ110" s="77"/>
      <c r="BA110" s="77"/>
      <c r="BB110" s="77"/>
      <c r="BC110" s="77"/>
      <c r="BD110" s="77"/>
      <c r="BE110" s="77"/>
      <c r="BF110" s="77"/>
      <c r="BG110" s="77"/>
      <c r="BH110" s="77"/>
      <c r="BI110" s="77"/>
      <c r="BJ110" s="77"/>
      <c r="BK110" s="77"/>
      <c r="BL110" s="77"/>
      <c r="BM110" s="77"/>
      <c r="BN110" s="77"/>
      <c r="BO110" s="77"/>
      <c r="BP110" s="77"/>
      <c r="BQ110" s="77"/>
      <c r="BR110" s="77"/>
      <c r="BS110" s="77"/>
      <c r="BT110" s="77"/>
      <c r="BU110" s="77"/>
      <c r="BV110" s="77"/>
      <c r="BW110" s="77"/>
      <c r="BX110" s="77"/>
      <c r="BY110" s="77"/>
      <c r="BZ110" s="77"/>
      <c r="CA110" s="77"/>
      <c r="CB110" s="77"/>
      <c r="CC110" s="77"/>
      <c r="CD110" s="77"/>
      <c r="CE110" s="77"/>
    </row>
    <row r="111" spans="1:184" ht="11.25" customHeight="1">
      <c r="A111" s="388"/>
      <c r="B111" s="72"/>
      <c r="C111" s="257"/>
      <c r="D111" s="1267"/>
      <c r="E111" s="195" t="s">
        <v>17</v>
      </c>
      <c r="F111" s="116" t="s">
        <v>17</v>
      </c>
      <c r="G111" s="116" t="s">
        <v>1427</v>
      </c>
      <c r="H111" s="62" t="s">
        <v>17</v>
      </c>
      <c r="I111" s="62"/>
      <c r="J111" s="62"/>
      <c r="K111" s="62"/>
      <c r="L111" s="62"/>
      <c r="M111" s="62"/>
      <c r="N111" s="62"/>
      <c r="O111" s="62"/>
      <c r="P111" s="62"/>
      <c r="Q111" s="62"/>
      <c r="R111" s="379"/>
      <c r="S111" s="397"/>
      <c r="T111" s="441"/>
      <c r="U111" s="1259"/>
      <c r="V111" s="1259"/>
      <c r="W111" s="72"/>
      <c r="X111" s="72"/>
      <c r="Y111" s="72"/>
      <c r="Z111" s="72"/>
      <c r="AA111" s="77"/>
      <c r="AB111" s="72"/>
      <c r="AC111" s="433"/>
      <c r="AD111" s="71"/>
      <c r="AE111" s="72"/>
      <c r="AF111" s="72"/>
      <c r="AG111" s="77"/>
      <c r="AH111" s="77"/>
      <c r="AI111" s="77"/>
      <c r="AJ111" s="77"/>
      <c r="AK111" s="77"/>
      <c r="AL111" s="77"/>
      <c r="AM111" s="77"/>
      <c r="AN111" s="77"/>
      <c r="AO111" s="77"/>
      <c r="AP111" s="77"/>
      <c r="AQ111" s="77"/>
      <c r="AR111" s="77"/>
      <c r="AS111" s="77"/>
      <c r="AT111" s="77"/>
      <c r="AU111" s="77"/>
      <c r="AV111" s="77"/>
      <c r="AW111" s="77"/>
      <c r="AX111" s="77"/>
      <c r="AY111" s="77"/>
      <c r="AZ111" s="77"/>
      <c r="BA111" s="77"/>
      <c r="BB111" s="77"/>
      <c r="BC111" s="77"/>
      <c r="BD111" s="77"/>
      <c r="BE111" s="77"/>
      <c r="BF111" s="77"/>
      <c r="BG111" s="77"/>
      <c r="BH111" s="77"/>
      <c r="BI111" s="77"/>
      <c r="BJ111" s="77"/>
      <c r="BK111" s="77"/>
      <c r="BL111" s="77"/>
      <c r="BM111" s="77"/>
      <c r="BN111" s="77"/>
      <c r="BO111" s="77"/>
      <c r="BP111" s="77"/>
      <c r="BQ111" s="77"/>
      <c r="BR111" s="77"/>
      <c r="BS111" s="77"/>
      <c r="BT111" s="77"/>
      <c r="BU111" s="77"/>
      <c r="BV111" s="72"/>
      <c r="BW111" s="72"/>
      <c r="BX111" s="72"/>
      <c r="BY111" s="72"/>
      <c r="BZ111" s="72"/>
      <c r="CA111" s="72"/>
      <c r="CB111" s="72"/>
      <c r="CC111" s="72"/>
      <c r="CD111" s="72"/>
      <c r="CE111" s="72"/>
    </row>
    <row r="112" spans="1:184" ht="17.25" customHeight="1"/>
    <row r="113" spans="1:83" s="23" customFormat="1" ht="11.25" customHeight="1">
      <c r="A113" s="23" t="s">
        <v>1430</v>
      </c>
    </row>
    <row r="114" spans="1:83" ht="17.25" customHeight="1"/>
    <row r="115" spans="1:83" ht="15" customHeight="1">
      <c r="A115" s="40"/>
      <c r="D115" s="1265" t="s">
        <v>109</v>
      </c>
      <c r="E115" s="1268" t="s">
        <v>105</v>
      </c>
      <c r="F115" s="1269"/>
      <c r="G115" s="1270"/>
      <c r="H115" s="1271" t="str">
        <f>IF(A115="","",INDEX(DIFFERENTIATION_UNMERGE_VD,MATCH(A115,DIFFERENTIATION_ID_DIFF,0)))</f>
        <v/>
      </c>
      <c r="I115" s="1271"/>
      <c r="J115" s="1271"/>
      <c r="K115" s="1271"/>
      <c r="L115" s="1271"/>
      <c r="M115" s="1271"/>
      <c r="N115" s="1271"/>
      <c r="O115" s="1271"/>
      <c r="P115" s="1271"/>
      <c r="Q115" s="1271"/>
      <c r="R115" s="1271"/>
      <c r="S115" s="442"/>
      <c r="T115" s="440"/>
      <c r="U115" s="111"/>
      <c r="V115" s="111"/>
      <c r="W115" s="71"/>
      <c r="X115" s="71"/>
      <c r="Y115" s="71"/>
      <c r="Z115" s="71"/>
      <c r="AA115" s="111"/>
      <c r="AB115" s="71"/>
      <c r="AC115" s="1280"/>
      <c r="AD115" s="71"/>
      <c r="AE115" s="385" t="s">
        <v>17</v>
      </c>
      <c r="AF115" s="385"/>
      <c r="AG115" s="386" t="s">
        <v>1420</v>
      </c>
      <c r="AH115" s="387">
        <v>3</v>
      </c>
      <c r="AI115" s="111"/>
      <c r="AJ115" s="111"/>
      <c r="AK115" s="111"/>
      <c r="AL115" s="111"/>
      <c r="AM115" s="111"/>
      <c r="AN115" s="111"/>
      <c r="AO115" s="111"/>
      <c r="AP115" s="111"/>
      <c r="AQ115" s="111"/>
      <c r="AR115" s="111"/>
      <c r="AS115" s="111"/>
      <c r="AT115" s="111"/>
      <c r="AU115" s="111"/>
      <c r="AV115" s="111"/>
      <c r="AW115" s="111"/>
      <c r="AX115" s="111"/>
      <c r="AY115" s="111"/>
      <c r="AZ115" s="111"/>
      <c r="BA115" s="111"/>
      <c r="BB115" s="111"/>
      <c r="BC115" s="111"/>
      <c r="BD115" s="111"/>
      <c r="BE115" s="111"/>
      <c r="BF115" s="111"/>
      <c r="BG115" s="111"/>
      <c r="BH115" s="111"/>
      <c r="BI115" s="111"/>
      <c r="BJ115" s="111"/>
      <c r="BK115" s="111"/>
      <c r="BL115" s="111"/>
      <c r="BM115" s="111"/>
      <c r="BN115" s="111"/>
      <c r="BO115" s="111"/>
      <c r="BP115" s="111"/>
      <c r="BQ115" s="111"/>
      <c r="BR115" s="111"/>
      <c r="BS115" s="111"/>
      <c r="BT115" s="111"/>
      <c r="BU115" s="111"/>
      <c r="BV115" s="71"/>
      <c r="BW115" s="71"/>
      <c r="BX115" s="71"/>
      <c r="BY115" s="71"/>
      <c r="BZ115" s="71"/>
      <c r="CA115" s="71"/>
      <c r="CB115" s="71"/>
      <c r="CC115" s="71"/>
      <c r="CD115" s="71"/>
      <c r="CE115" s="71"/>
    </row>
    <row r="116" spans="1:83" ht="15" customHeight="1">
      <c r="A116" s="40"/>
      <c r="D116" s="1266"/>
      <c r="E116" s="1268" t="s">
        <v>1421</v>
      </c>
      <c r="F116" s="1269"/>
      <c r="G116" s="1270"/>
      <c r="H116" s="1271" t="str">
        <f>IF(A115="","",INDEX(DIFFERENTIATION_UNMERGE_AREA,MATCH(A115,DIFFERENTIATION_ID_DIFF,0)))</f>
        <v/>
      </c>
      <c r="I116" s="1271"/>
      <c r="J116" s="1271"/>
      <c r="K116" s="1271"/>
      <c r="L116" s="1271"/>
      <c r="M116" s="1271"/>
      <c r="N116" s="1271"/>
      <c r="O116" s="1271"/>
      <c r="P116" s="1271"/>
      <c r="Q116" s="1271"/>
      <c r="R116" s="1271"/>
      <c r="S116" s="442"/>
      <c r="T116" s="440"/>
      <c r="U116" s="111"/>
      <c r="V116" s="111"/>
      <c r="W116" s="71"/>
      <c r="X116" s="71"/>
      <c r="Y116" s="71"/>
      <c r="Z116" s="71"/>
      <c r="AA116" s="111"/>
      <c r="AB116" s="71"/>
      <c r="AC116" s="1280"/>
      <c r="AD116" s="71"/>
      <c r="AE116" s="385"/>
      <c r="AF116" s="385"/>
      <c r="AG116" s="386"/>
      <c r="AH116" s="387"/>
      <c r="AI116" s="111"/>
      <c r="AJ116" s="111"/>
      <c r="AK116" s="111"/>
      <c r="AL116" s="111"/>
      <c r="AM116" s="111"/>
      <c r="AN116" s="111"/>
      <c r="AO116" s="111"/>
      <c r="AP116" s="111"/>
      <c r="AQ116" s="111"/>
      <c r="AR116" s="111"/>
      <c r="AS116" s="111"/>
      <c r="AT116" s="111"/>
      <c r="AU116" s="111"/>
      <c r="AV116" s="111"/>
      <c r="AW116" s="111"/>
      <c r="AX116" s="111"/>
      <c r="AY116" s="111"/>
      <c r="AZ116" s="111"/>
      <c r="BA116" s="111"/>
      <c r="BB116" s="111"/>
      <c r="BC116" s="111"/>
      <c r="BD116" s="111"/>
      <c r="BE116" s="111"/>
      <c r="BF116" s="111"/>
      <c r="BG116" s="111"/>
      <c r="BH116" s="111"/>
      <c r="BI116" s="111"/>
      <c r="BJ116" s="111"/>
      <c r="BK116" s="111"/>
      <c r="BL116" s="111"/>
      <c r="BM116" s="111"/>
      <c r="BN116" s="111"/>
      <c r="BO116" s="111"/>
      <c r="BP116" s="111"/>
      <c r="BQ116" s="111"/>
      <c r="BR116" s="111"/>
      <c r="BS116" s="111"/>
      <c r="BT116" s="111"/>
      <c r="BU116" s="111"/>
      <c r="BV116" s="71"/>
      <c r="BW116" s="71"/>
      <c r="BX116" s="71"/>
      <c r="BY116" s="71"/>
      <c r="BZ116" s="71"/>
      <c r="CA116" s="71"/>
      <c r="CB116" s="71"/>
      <c r="CC116" s="71"/>
      <c r="CD116" s="71"/>
      <c r="CE116" s="71"/>
    </row>
    <row r="117" spans="1:83" ht="15" customHeight="1">
      <c r="A117" s="40"/>
      <c r="D117" s="1266"/>
      <c r="E117" s="1268" t="s">
        <v>1422</v>
      </c>
      <c r="F117" s="1269"/>
      <c r="G117" s="1270"/>
      <c r="H117" s="1271" t="str">
        <f>IF(A115="","",INDEX(DIFFERENTIATION_UNMERGE_SYSTEM,MATCH(A115,DIFFERENTIATION_ID_DIFF,0)))</f>
        <v/>
      </c>
      <c r="I117" s="1271"/>
      <c r="J117" s="1271"/>
      <c r="K117" s="1271"/>
      <c r="L117" s="1271"/>
      <c r="M117" s="1271"/>
      <c r="N117" s="1271"/>
      <c r="O117" s="1271"/>
      <c r="P117" s="1271"/>
      <c r="Q117" s="1271"/>
      <c r="R117" s="1271"/>
      <c r="S117" s="442"/>
      <c r="T117" s="440"/>
      <c r="U117" s="111"/>
      <c r="V117" s="111"/>
      <c r="W117" s="71"/>
      <c r="X117" s="71"/>
      <c r="Y117" s="71"/>
      <c r="Z117" s="71"/>
      <c r="AA117" s="111"/>
      <c r="AB117" s="71"/>
      <c r="AC117" s="1280"/>
      <c r="AD117" s="71"/>
      <c r="AE117" s="385"/>
      <c r="AF117" s="385"/>
      <c r="AG117" s="386"/>
      <c r="AH117" s="387"/>
      <c r="AI117" s="111"/>
      <c r="AJ117" s="111"/>
      <c r="AK117" s="111"/>
      <c r="AL117" s="111"/>
      <c r="AM117" s="111"/>
      <c r="AN117" s="111"/>
      <c r="AO117" s="111"/>
      <c r="AP117" s="111"/>
      <c r="AQ117" s="111"/>
      <c r="AR117" s="111"/>
      <c r="AS117" s="111"/>
      <c r="AT117" s="111"/>
      <c r="AU117" s="111"/>
      <c r="AV117" s="111"/>
      <c r="AW117" s="111"/>
      <c r="AX117" s="111"/>
      <c r="AY117" s="111"/>
      <c r="AZ117" s="111"/>
      <c r="BA117" s="111"/>
      <c r="BB117" s="111"/>
      <c r="BC117" s="111"/>
      <c r="BD117" s="111"/>
      <c r="BE117" s="111"/>
      <c r="BF117" s="111"/>
      <c r="BG117" s="111"/>
      <c r="BH117" s="111"/>
      <c r="BI117" s="111"/>
      <c r="BJ117" s="111"/>
      <c r="BK117" s="111"/>
      <c r="BL117" s="111"/>
      <c r="BM117" s="111"/>
      <c r="BN117" s="111"/>
      <c r="BO117" s="111"/>
      <c r="BP117" s="111"/>
      <c r="BQ117" s="111"/>
      <c r="BR117" s="111"/>
      <c r="BS117" s="111"/>
      <c r="BT117" s="111"/>
      <c r="BU117" s="111"/>
      <c r="BV117" s="71"/>
      <c r="BW117" s="71"/>
      <c r="BX117" s="71"/>
      <c r="BY117" s="71"/>
      <c r="BZ117" s="71"/>
      <c r="CA117" s="71"/>
      <c r="CB117" s="71"/>
      <c r="CC117" s="71"/>
      <c r="CD117" s="71"/>
      <c r="CE117" s="71"/>
    </row>
    <row r="118" spans="1:83" ht="24.75" customHeight="1">
      <c r="A118" s="388"/>
      <c r="B118" s="72"/>
      <c r="C118" s="257"/>
      <c r="D118" s="1266"/>
      <c r="E118" s="1286" t="s">
        <v>1423</v>
      </c>
      <c r="F118" s="1286"/>
      <c r="G118" s="1286"/>
      <c r="H118" s="1286"/>
      <c r="I118" s="1286"/>
      <c r="J118" s="1286"/>
      <c r="K118" s="1286"/>
      <c r="L118" s="1286"/>
      <c r="M118" s="1286"/>
      <c r="N118" s="1286"/>
      <c r="O118" s="1286"/>
      <c r="P118" s="1286"/>
      <c r="Q118" s="347">
        <f>SUMIF(T119:T120,"i",Q119:Q120)</f>
        <v>0</v>
      </c>
      <c r="R118" s="637"/>
      <c r="S118" s="157" t="s">
        <v>1424</v>
      </c>
      <c r="T118" s="440" t="s">
        <v>1425</v>
      </c>
      <c r="U118" s="1259">
        <v>1</v>
      </c>
      <c r="V118" s="1259" t="s">
        <v>1426</v>
      </c>
      <c r="W118" s="72"/>
      <c r="X118" s="72"/>
      <c r="Y118" s="72"/>
      <c r="Z118" s="72"/>
      <c r="AA118" s="77"/>
      <c r="AB118" s="72"/>
      <c r="AC118" s="1280"/>
      <c r="AD118" s="71"/>
      <c r="AE118" s="72"/>
      <c r="AF118" s="72"/>
      <c r="AG118" s="77"/>
      <c r="AH118" s="77"/>
      <c r="AI118" s="77"/>
      <c r="AJ118" s="77"/>
      <c r="AK118" s="77"/>
      <c r="AL118" s="77"/>
      <c r="AM118" s="77"/>
      <c r="AN118" s="77"/>
      <c r="AO118" s="77"/>
      <c r="AP118" s="77"/>
      <c r="AQ118" s="77"/>
      <c r="AR118" s="77"/>
      <c r="AS118" s="77"/>
      <c r="AT118" s="77"/>
      <c r="AU118" s="77"/>
      <c r="AV118" s="77"/>
      <c r="AW118" s="77"/>
      <c r="AX118" s="77"/>
      <c r="AY118" s="77"/>
      <c r="AZ118" s="77"/>
      <c r="BA118" s="77"/>
      <c r="BB118" s="77"/>
      <c r="BC118" s="77"/>
      <c r="BD118" s="77"/>
      <c r="BE118" s="77"/>
      <c r="BF118" s="77"/>
      <c r="BG118" s="77"/>
      <c r="BH118" s="77"/>
      <c r="BI118" s="77"/>
      <c r="BJ118" s="77"/>
      <c r="BK118" s="77"/>
      <c r="BL118" s="77"/>
      <c r="BM118" s="77"/>
      <c r="BN118" s="77"/>
      <c r="BO118" s="77"/>
      <c r="BP118" s="77"/>
      <c r="BQ118" s="77"/>
      <c r="BR118" s="77"/>
      <c r="BS118" s="77"/>
      <c r="BT118" s="77"/>
      <c r="BU118" s="77"/>
      <c r="BV118" s="72"/>
      <c r="BW118" s="72"/>
      <c r="BX118" s="72"/>
      <c r="BY118" s="72"/>
      <c r="BZ118" s="72"/>
      <c r="CA118" s="72"/>
      <c r="CB118" s="72"/>
      <c r="CC118" s="72"/>
      <c r="CD118" s="72"/>
      <c r="CE118" s="72"/>
    </row>
    <row r="119" spans="1:83" ht="11.25" hidden="1" customHeight="1">
      <c r="A119" s="127"/>
      <c r="B119" s="77"/>
      <c r="C119" s="77"/>
      <c r="D119" s="1266"/>
      <c r="E119" s="389"/>
      <c r="F119" s="389">
        <v>0</v>
      </c>
      <c r="G119" s="389"/>
      <c r="H119" s="389"/>
      <c r="I119" s="389"/>
      <c r="J119" s="389"/>
      <c r="K119" s="389"/>
      <c r="L119" s="389"/>
      <c r="M119" s="389"/>
      <c r="N119" s="389"/>
      <c r="O119" s="389"/>
      <c r="P119" s="389"/>
      <c r="Q119" s="389"/>
      <c r="R119" s="389"/>
      <c r="S119" s="342"/>
      <c r="T119" s="441"/>
      <c r="U119" s="1259"/>
      <c r="V119" s="1259"/>
      <c r="W119" s="77"/>
      <c r="X119" s="77"/>
      <c r="Y119" s="77"/>
      <c r="Z119" s="77"/>
      <c r="AA119" s="77"/>
      <c r="AB119" s="72"/>
      <c r="AC119" s="1280"/>
      <c r="AD119" s="71"/>
      <c r="AE119" s="72"/>
      <c r="AF119" s="72"/>
      <c r="AG119" s="77"/>
      <c r="AH119" s="77"/>
      <c r="AI119" s="77"/>
      <c r="AJ119" s="77"/>
      <c r="AK119" s="77"/>
      <c r="AL119" s="77"/>
      <c r="AM119" s="77"/>
      <c r="AN119" s="77"/>
      <c r="AO119" s="77"/>
      <c r="AP119" s="77"/>
      <c r="AQ119" s="77"/>
      <c r="AR119" s="77"/>
      <c r="AS119" s="77"/>
      <c r="AT119" s="77"/>
      <c r="AU119" s="77"/>
      <c r="AV119" s="77"/>
      <c r="AW119" s="77"/>
      <c r="AX119" s="77"/>
      <c r="AY119" s="77"/>
      <c r="AZ119" s="77"/>
      <c r="BA119" s="77"/>
      <c r="BB119" s="77"/>
      <c r="BC119" s="77"/>
      <c r="BD119" s="77"/>
      <c r="BE119" s="77"/>
      <c r="BF119" s="77"/>
      <c r="BG119" s="77"/>
      <c r="BH119" s="77"/>
      <c r="BI119" s="77"/>
      <c r="BJ119" s="77"/>
      <c r="BK119" s="77"/>
      <c r="BL119" s="77"/>
      <c r="BM119" s="77"/>
      <c r="BN119" s="77"/>
      <c r="BO119" s="77"/>
      <c r="BP119" s="77"/>
      <c r="BQ119" s="77"/>
      <c r="BR119" s="77"/>
      <c r="BS119" s="77"/>
      <c r="BT119" s="77"/>
      <c r="BU119" s="77"/>
      <c r="BV119" s="77"/>
      <c r="BW119" s="77"/>
      <c r="BX119" s="77"/>
      <c r="BY119" s="77"/>
      <c r="BZ119" s="77"/>
      <c r="CA119" s="77"/>
      <c r="CB119" s="77"/>
      <c r="CC119" s="77"/>
      <c r="CD119" s="77"/>
      <c r="CE119" s="77"/>
    </row>
    <row r="120" spans="1:83" ht="11.25" customHeight="1">
      <c r="A120" s="388"/>
      <c r="B120" s="72"/>
      <c r="C120" s="257"/>
      <c r="D120" s="1266"/>
      <c r="E120" s="195" t="s">
        <v>17</v>
      </c>
      <c r="F120" s="116" t="s">
        <v>17</v>
      </c>
      <c r="G120" s="116" t="s">
        <v>1427</v>
      </c>
      <c r="H120" s="62" t="s">
        <v>17</v>
      </c>
      <c r="I120" s="62"/>
      <c r="J120" s="62"/>
      <c r="K120" s="62"/>
      <c r="L120" s="62"/>
      <c r="M120" s="62"/>
      <c r="N120" s="62"/>
      <c r="O120" s="62"/>
      <c r="P120" s="62"/>
      <c r="Q120" s="62"/>
      <c r="R120" s="379"/>
      <c r="S120" s="397"/>
      <c r="T120" s="441"/>
      <c r="U120" s="1259"/>
      <c r="V120" s="1259"/>
      <c r="W120" s="72"/>
      <c r="X120" s="72"/>
      <c r="Y120" s="72"/>
      <c r="Z120" s="72"/>
      <c r="AA120" s="77"/>
      <c r="AB120" s="72"/>
      <c r="AC120" s="1280"/>
      <c r="AD120" s="71"/>
      <c r="AE120" s="72"/>
      <c r="AF120" s="72"/>
      <c r="AG120" s="77"/>
      <c r="AH120" s="77"/>
      <c r="AI120" s="77"/>
      <c r="AJ120" s="77"/>
      <c r="AK120" s="77"/>
      <c r="AL120" s="77"/>
      <c r="AM120" s="77"/>
      <c r="AN120" s="77"/>
      <c r="AO120" s="77"/>
      <c r="AP120" s="77"/>
      <c r="AQ120" s="77"/>
      <c r="AR120" s="77"/>
      <c r="AS120" s="77"/>
      <c r="AT120" s="77"/>
      <c r="AU120" s="77"/>
      <c r="AV120" s="77"/>
      <c r="AW120" s="77"/>
      <c r="AX120" s="77"/>
      <c r="AY120" s="77"/>
      <c r="AZ120" s="77"/>
      <c r="BA120" s="77"/>
      <c r="BB120" s="77"/>
      <c r="BC120" s="77"/>
      <c r="BD120" s="77"/>
      <c r="BE120" s="77"/>
      <c r="BF120" s="77"/>
      <c r="BG120" s="77"/>
      <c r="BH120" s="77"/>
      <c r="BI120" s="77"/>
      <c r="BJ120" s="77"/>
      <c r="BK120" s="77"/>
      <c r="BL120" s="77"/>
      <c r="BM120" s="77"/>
      <c r="BN120" s="77"/>
      <c r="BO120" s="77"/>
      <c r="BP120" s="77"/>
      <c r="BQ120" s="77"/>
      <c r="BR120" s="77"/>
      <c r="BS120" s="77"/>
      <c r="BT120" s="77"/>
      <c r="BU120" s="77"/>
      <c r="BV120" s="72"/>
      <c r="BW120" s="72"/>
      <c r="BX120" s="72"/>
      <c r="BY120" s="72"/>
      <c r="BZ120" s="72"/>
      <c r="CA120" s="72"/>
      <c r="CB120" s="72"/>
      <c r="CC120" s="72"/>
      <c r="CD120" s="72"/>
      <c r="CE120" s="72"/>
    </row>
    <row r="121" spans="1:83" s="111" customFormat="1" ht="5.25" hidden="1" customHeight="1">
      <c r="A121" s="127"/>
      <c r="B121" s="77"/>
      <c r="C121" s="77"/>
      <c r="D121" s="1266"/>
      <c r="E121" s="651"/>
      <c r="F121" s="651"/>
      <c r="G121" s="651"/>
      <c r="H121" s="651"/>
      <c r="I121" s="651"/>
      <c r="J121" s="651"/>
      <c r="K121" s="651"/>
      <c r="L121" s="651"/>
      <c r="M121" s="651"/>
      <c r="N121" s="651"/>
      <c r="O121" s="651"/>
      <c r="P121" s="651"/>
      <c r="Q121" s="652"/>
      <c r="R121" s="653"/>
      <c r="S121" s="389"/>
      <c r="T121" s="440" t="s">
        <v>1425</v>
      </c>
      <c r="U121" s="1259">
        <v>1</v>
      </c>
      <c r="V121" s="1259" t="s">
        <v>1426</v>
      </c>
      <c r="W121" s="77"/>
      <c r="X121" s="77"/>
      <c r="Y121" s="77"/>
      <c r="Z121" s="77"/>
      <c r="AA121" s="77"/>
      <c r="AB121" s="77"/>
      <c r="AC121" s="650"/>
      <c r="AE121" s="77"/>
      <c r="AF121" s="77"/>
      <c r="AG121" s="77"/>
      <c r="AH121" s="77"/>
      <c r="AI121" s="77"/>
      <c r="AJ121" s="77"/>
      <c r="AK121" s="77"/>
      <c r="AL121" s="77"/>
      <c r="AM121" s="77"/>
      <c r="AN121" s="77"/>
      <c r="AO121" s="77"/>
      <c r="AP121" s="77"/>
      <c r="AQ121" s="77"/>
      <c r="AR121" s="77"/>
      <c r="AS121" s="77"/>
      <c r="AT121" s="77"/>
      <c r="AU121" s="77"/>
      <c r="AV121" s="77"/>
      <c r="AW121" s="77"/>
      <c r="AX121" s="77"/>
      <c r="AY121" s="77"/>
      <c r="AZ121" s="77"/>
      <c r="BA121" s="77"/>
      <c r="BB121" s="77"/>
      <c r="BC121" s="77"/>
      <c r="BD121" s="77"/>
      <c r="BE121" s="77"/>
      <c r="BF121" s="77"/>
      <c r="BG121" s="77"/>
      <c r="BH121" s="77"/>
      <c r="BI121" s="77"/>
      <c r="BJ121" s="77"/>
      <c r="BK121" s="77"/>
      <c r="BL121" s="77"/>
      <c r="BM121" s="77"/>
      <c r="BN121" s="77"/>
      <c r="BO121" s="77"/>
      <c r="BP121" s="77"/>
      <c r="BQ121" s="77"/>
      <c r="BR121" s="77"/>
      <c r="BS121" s="77"/>
      <c r="BT121" s="77"/>
      <c r="BU121" s="77"/>
      <c r="BV121" s="77"/>
      <c r="BW121" s="77"/>
      <c r="BX121" s="77"/>
      <c r="BY121" s="77"/>
      <c r="BZ121" s="77"/>
      <c r="CA121" s="77"/>
      <c r="CB121" s="77"/>
      <c r="CC121" s="77"/>
      <c r="CD121" s="77"/>
      <c r="CE121" s="77"/>
    </row>
    <row r="122" spans="1:83" s="111" customFormat="1" ht="5.25" hidden="1" customHeight="1">
      <c r="A122" s="127"/>
      <c r="B122" s="77"/>
      <c r="C122" s="77"/>
      <c r="D122" s="1266"/>
      <c r="E122" s="389"/>
      <c r="F122" s="389"/>
      <c r="G122" s="389"/>
      <c r="H122" s="389"/>
      <c r="I122" s="389"/>
      <c r="J122" s="389"/>
      <c r="K122" s="389"/>
      <c r="L122" s="389"/>
      <c r="M122" s="389"/>
      <c r="N122" s="389"/>
      <c r="O122" s="389"/>
      <c r="P122" s="389"/>
      <c r="Q122" s="389"/>
      <c r="R122" s="389"/>
      <c r="S122" s="342"/>
      <c r="T122" s="441"/>
      <c r="U122" s="1259"/>
      <c r="V122" s="1259"/>
      <c r="W122" s="77"/>
      <c r="X122" s="77"/>
      <c r="Y122" s="77"/>
      <c r="Z122" s="77"/>
      <c r="AA122" s="77"/>
      <c r="AB122" s="77"/>
      <c r="AC122" s="650"/>
      <c r="AE122" s="77"/>
      <c r="AF122" s="77"/>
      <c r="AG122" s="77"/>
      <c r="AH122" s="77"/>
      <c r="AI122" s="77"/>
      <c r="AJ122" s="77"/>
      <c r="AK122" s="77"/>
      <c r="AL122" s="77"/>
      <c r="AM122" s="77"/>
      <c r="AN122" s="77"/>
      <c r="AO122" s="77"/>
      <c r="AP122" s="77"/>
      <c r="AQ122" s="77"/>
      <c r="AR122" s="77"/>
      <c r="AS122" s="77"/>
      <c r="AT122" s="77"/>
      <c r="AU122" s="77"/>
      <c r="AV122" s="77"/>
      <c r="AW122" s="77"/>
      <c r="AX122" s="77"/>
      <c r="AY122" s="77"/>
      <c r="AZ122" s="77"/>
      <c r="BA122" s="77"/>
      <c r="BB122" s="77"/>
      <c r="BC122" s="77"/>
      <c r="BD122" s="77"/>
      <c r="BE122" s="77"/>
      <c r="BF122" s="77"/>
      <c r="BG122" s="77"/>
      <c r="BH122" s="77"/>
      <c r="BI122" s="77"/>
      <c r="BJ122" s="77"/>
      <c r="BK122" s="77"/>
      <c r="BL122" s="77"/>
      <c r="BM122" s="77"/>
      <c r="BN122" s="77"/>
      <c r="BO122" s="77"/>
      <c r="BP122" s="77"/>
      <c r="BQ122" s="77"/>
      <c r="BR122" s="77"/>
      <c r="BS122" s="77"/>
      <c r="BT122" s="77"/>
      <c r="BU122" s="77"/>
      <c r="BV122" s="77"/>
      <c r="BW122" s="77"/>
      <c r="BX122" s="77"/>
      <c r="BY122" s="77"/>
      <c r="BZ122" s="77"/>
      <c r="CA122" s="77"/>
      <c r="CB122" s="77"/>
      <c r="CC122" s="77"/>
      <c r="CD122" s="77"/>
      <c r="CE122" s="77"/>
    </row>
    <row r="123" spans="1:83" s="111" customFormat="1" ht="5.25" hidden="1" customHeight="1">
      <c r="A123" s="127"/>
      <c r="B123" s="77"/>
      <c r="C123" s="77"/>
      <c r="D123" s="1267"/>
      <c r="E123" s="654"/>
      <c r="F123" s="655"/>
      <c r="G123" s="655"/>
      <c r="H123" s="656"/>
      <c r="I123" s="656"/>
      <c r="J123" s="656"/>
      <c r="K123" s="656"/>
      <c r="L123" s="656"/>
      <c r="M123" s="656"/>
      <c r="N123" s="656"/>
      <c r="O123" s="656"/>
      <c r="P123" s="656"/>
      <c r="Q123" s="656"/>
      <c r="R123" s="584"/>
      <c r="S123" s="657"/>
      <c r="T123" s="441"/>
      <c r="U123" s="1259"/>
      <c r="V123" s="1259"/>
      <c r="W123" s="77"/>
      <c r="X123" s="77"/>
      <c r="Y123" s="77"/>
      <c r="Z123" s="77"/>
      <c r="AA123" s="77"/>
      <c r="AB123" s="77"/>
      <c r="AC123" s="650"/>
      <c r="AE123" s="77"/>
      <c r="AF123" s="77"/>
      <c r="AG123" s="77"/>
      <c r="AH123" s="77"/>
      <c r="AI123" s="77"/>
      <c r="AJ123" s="77"/>
      <c r="AK123" s="77"/>
      <c r="AL123" s="77"/>
      <c r="AM123" s="77"/>
      <c r="AN123" s="77"/>
      <c r="AO123" s="77"/>
      <c r="AP123" s="77"/>
      <c r="AQ123" s="77"/>
      <c r="AR123" s="77"/>
      <c r="AS123" s="77"/>
      <c r="AT123" s="77"/>
      <c r="AU123" s="77"/>
      <c r="AV123" s="77"/>
      <c r="AW123" s="77"/>
      <c r="AX123" s="77"/>
      <c r="AY123" s="77"/>
      <c r="AZ123" s="77"/>
      <c r="BA123" s="77"/>
      <c r="BB123" s="77"/>
      <c r="BC123" s="77"/>
      <c r="BD123" s="77"/>
      <c r="BE123" s="77"/>
      <c r="BF123" s="77"/>
      <c r="BG123" s="77"/>
      <c r="BH123" s="77"/>
      <c r="BI123" s="77"/>
      <c r="BJ123" s="77"/>
      <c r="BK123" s="77"/>
      <c r="BL123" s="77"/>
      <c r="BM123" s="77"/>
      <c r="BN123" s="77"/>
      <c r="BO123" s="77"/>
      <c r="BP123" s="77"/>
      <c r="BQ123" s="77"/>
      <c r="BR123" s="77"/>
      <c r="BS123" s="77"/>
      <c r="BT123" s="77"/>
      <c r="BU123" s="77"/>
      <c r="BV123" s="77"/>
      <c r="BW123" s="77"/>
      <c r="BX123" s="77"/>
      <c r="BY123" s="77"/>
      <c r="BZ123" s="77"/>
      <c r="CA123" s="77"/>
      <c r="CB123" s="77"/>
      <c r="CC123" s="77"/>
      <c r="CD123" s="77"/>
      <c r="CE123" s="77"/>
    </row>
    <row r="124" spans="1:83" ht="17.25" customHeight="1">
      <c r="D124" s="658"/>
    </row>
    <row r="125" spans="1:83" s="23" customFormat="1" ht="11.25" customHeight="1">
      <c r="A125" s="23" t="s">
        <v>1431</v>
      </c>
    </row>
    <row r="126" spans="1:83" ht="17.25" customHeight="1"/>
    <row r="127" spans="1:83" ht="45" customHeight="1">
      <c r="A127" s="388"/>
      <c r="B127" s="72"/>
      <c r="C127" s="257"/>
      <c r="E127" s="1281"/>
      <c r="F127" s="1134" t="s">
        <v>109</v>
      </c>
      <c r="G127" s="1284" t="s">
        <v>17</v>
      </c>
      <c r="H127" s="76"/>
      <c r="I127" s="390" t="s">
        <v>109</v>
      </c>
      <c r="J127" s="128" t="s">
        <v>1432</v>
      </c>
      <c r="K127" s="153" t="s">
        <v>1433</v>
      </c>
      <c r="L127" s="1220" t="s">
        <v>1433</v>
      </c>
      <c r="M127" s="1180"/>
      <c r="N127" s="153" t="s">
        <v>1433</v>
      </c>
      <c r="O127" s="153" t="s">
        <v>1433</v>
      </c>
      <c r="P127" s="153" t="s">
        <v>1433</v>
      </c>
      <c r="Q127" s="391">
        <f>SUM(Q128:Q130)</f>
        <v>0</v>
      </c>
      <c r="R127" s="391">
        <f>IF(R124=0,0,(Q124/R124)*100)</f>
        <v>0</v>
      </c>
      <c r="S127" s="1192"/>
      <c r="T127" s="440" t="s">
        <v>1425</v>
      </c>
    </row>
    <row r="128" spans="1:83" ht="11.25" customHeight="1">
      <c r="A128" s="388"/>
      <c r="B128" s="72"/>
      <c r="C128" s="257"/>
      <c r="E128" s="1282"/>
      <c r="F128" s="1134"/>
      <c r="G128" s="1284"/>
      <c r="H128" s="1123"/>
      <c r="I128" s="1262" t="s">
        <v>620</v>
      </c>
      <c r="J128" s="1278"/>
      <c r="K128" s="1279"/>
      <c r="L128" s="112"/>
      <c r="M128" s="392" t="s">
        <v>109</v>
      </c>
      <c r="N128" s="271"/>
      <c r="O128" s="234"/>
      <c r="P128" s="393"/>
      <c r="Q128" s="234"/>
      <c r="R128" s="394">
        <v>0</v>
      </c>
      <c r="S128" s="1192"/>
      <c r="T128" s="440"/>
    </row>
    <row r="129" spans="1:43" ht="11.25" customHeight="1">
      <c r="A129" s="388"/>
      <c r="B129" s="72"/>
      <c r="C129" s="257"/>
      <c r="E129" s="1282"/>
      <c r="F129" s="1134"/>
      <c r="G129" s="1284"/>
      <c r="H129" s="1123"/>
      <c r="I129" s="1262"/>
      <c r="J129" s="1278"/>
      <c r="K129" s="1264"/>
      <c r="L129" s="395"/>
      <c r="M129" s="396"/>
      <c r="N129" s="62" t="s">
        <v>1434</v>
      </c>
      <c r="O129" s="62"/>
      <c r="P129" s="62"/>
      <c r="Q129" s="62"/>
      <c r="R129" s="379"/>
      <c r="S129" s="1192"/>
      <c r="T129" s="440"/>
    </row>
    <row r="130" spans="1:43" ht="11.25" customHeight="1">
      <c r="A130" s="388"/>
      <c r="B130" s="72"/>
      <c r="C130" s="257"/>
      <c r="E130" s="1283"/>
      <c r="F130" s="1134"/>
      <c r="G130" s="1285"/>
      <c r="H130" s="395" t="s">
        <v>17</v>
      </c>
      <c r="I130" s="396"/>
      <c r="J130" s="62" t="s">
        <v>1435</v>
      </c>
      <c r="K130" s="62"/>
      <c r="L130" s="62"/>
      <c r="M130" s="62"/>
      <c r="N130" s="62"/>
      <c r="O130" s="62"/>
      <c r="P130" s="62"/>
      <c r="Q130" s="62"/>
      <c r="R130" s="379"/>
      <c r="S130" s="1192"/>
      <c r="T130" s="440"/>
    </row>
    <row r="131" spans="1:43" ht="17.25" customHeight="1"/>
    <row r="132" spans="1:43" ht="17.25" customHeight="1"/>
    <row r="133" spans="1:43" ht="17.25" customHeight="1"/>
    <row r="135" spans="1:43" ht="11.25" customHeight="1">
      <c r="A135" s="388"/>
      <c r="B135" s="72"/>
      <c r="C135" s="257"/>
      <c r="E135" s="1014"/>
      <c r="F135" s="1014"/>
      <c r="G135" s="1014"/>
      <c r="H135" s="1123"/>
      <c r="I135" s="1262" t="s">
        <v>620</v>
      </c>
      <c r="J135" s="1278"/>
      <c r="K135" s="1279"/>
      <c r="L135" s="112"/>
      <c r="M135" s="392" t="s">
        <v>109</v>
      </c>
      <c r="N135" s="271"/>
      <c r="O135" s="234"/>
      <c r="P135" s="393"/>
      <c r="Q135" s="234"/>
      <c r="R135" s="394">
        <v>0</v>
      </c>
      <c r="T135" s="440"/>
    </row>
    <row r="136" spans="1:43" ht="11.25" customHeight="1">
      <c r="A136" s="388"/>
      <c r="B136" s="72"/>
      <c r="C136" s="257"/>
      <c r="E136" s="1014"/>
      <c r="F136" s="1014"/>
      <c r="G136" s="1014"/>
      <c r="H136" s="1123"/>
      <c r="I136" s="1262"/>
      <c r="J136" s="1278"/>
      <c r="K136" s="1264"/>
      <c r="L136" s="395"/>
      <c r="M136" s="396"/>
      <c r="N136" s="62" t="s">
        <v>1434</v>
      </c>
      <c r="O136" s="62"/>
      <c r="P136" s="62"/>
      <c r="Q136" s="62"/>
      <c r="R136" s="379"/>
      <c r="T136" s="440"/>
    </row>
    <row r="137" spans="1:43" ht="17.25" customHeight="1"/>
    <row r="138" spans="1:43" ht="11.25" customHeight="1">
      <c r="A138" s="388"/>
      <c r="B138" s="72"/>
      <c r="C138" s="257"/>
      <c r="E138" s="1030"/>
      <c r="H138" s="223"/>
      <c r="I138" s="1014"/>
      <c r="J138" s="1020"/>
      <c r="K138" s="1020"/>
      <c r="L138" s="112"/>
      <c r="M138" s="392" t="s">
        <v>109</v>
      </c>
      <c r="N138" s="271"/>
      <c r="O138" s="234"/>
      <c r="P138" s="393"/>
      <c r="Q138" s="234"/>
      <c r="R138" s="394">
        <v>0</v>
      </c>
      <c r="T138" s="440"/>
    </row>
    <row r="139" spans="1:43" ht="17.25" customHeight="1"/>
    <row r="140" spans="1:43" s="23" customFormat="1" ht="17.25" customHeight="1">
      <c r="A140" s="23" t="s">
        <v>1436</v>
      </c>
    </row>
    <row r="141" spans="1:43" ht="17.25" customHeight="1">
      <c r="G141" s="41"/>
      <c r="H141" s="41"/>
      <c r="I141" s="41"/>
    </row>
    <row r="142" spans="1:43" s="44" customFormat="1" ht="17.25" customHeight="1">
      <c r="A142" s="78"/>
      <c r="C142" s="86"/>
      <c r="D142" s="1260"/>
      <c r="E142" s="1145"/>
      <c r="F142" s="1147"/>
      <c r="G142" s="1150"/>
      <c r="H142" s="1260"/>
      <c r="I142" s="1260">
        <v>1</v>
      </c>
      <c r="J142" s="1289"/>
      <c r="K142" s="1195" t="s">
        <v>67</v>
      </c>
      <c r="L142" s="1134"/>
      <c r="M142" s="1134" t="s">
        <v>109</v>
      </c>
      <c r="N142" s="1287" t="str">
        <f>IF(Z142="","",INDEX(TERRITORY_MR_LIST,MATCH(Z142,TERRITORY_LIST_ID,0)))</f>
        <v/>
      </c>
      <c r="O142" s="1195" t="s">
        <v>67</v>
      </c>
      <c r="P142" s="1134"/>
      <c r="Q142" s="1134" t="s">
        <v>109</v>
      </c>
      <c r="R142" s="1264" t="s">
        <v>17</v>
      </c>
      <c r="S142" s="1133" t="s">
        <v>67</v>
      </c>
      <c r="T142" s="52"/>
      <c r="U142" s="52" t="s">
        <v>109</v>
      </c>
      <c r="V142" s="271" t="s">
        <v>17</v>
      </c>
      <c r="W142" s="46"/>
      <c r="Y142" s="785"/>
      <c r="Z142" s="785"/>
      <c r="AA142" s="785"/>
      <c r="AB142" s="785"/>
      <c r="AC142" s="785"/>
      <c r="AD142" s="785"/>
      <c r="AE142" s="785"/>
      <c r="AF142" s="785"/>
      <c r="AG142" s="785"/>
      <c r="AH142" s="785"/>
      <c r="AI142" s="785"/>
      <c r="AJ142" s="785"/>
      <c r="AK142" s="785"/>
      <c r="AL142" s="149"/>
      <c r="AM142" s="149"/>
      <c r="AN142" s="785"/>
      <c r="AO142" s="785"/>
      <c r="AP142" s="785"/>
      <c r="AQ142" s="785"/>
    </row>
    <row r="143" spans="1:43" s="44" customFormat="1" ht="17.25" customHeight="1">
      <c r="A143" s="78"/>
      <c r="D143" s="1260"/>
      <c r="E143" s="1145"/>
      <c r="F143" s="1148"/>
      <c r="G143" s="1150"/>
      <c r="H143" s="1260"/>
      <c r="I143" s="1260"/>
      <c r="J143" s="1289"/>
      <c r="K143" s="1196"/>
      <c r="L143" s="1134"/>
      <c r="M143" s="1134"/>
      <c r="N143" s="1287"/>
      <c r="O143" s="1196"/>
      <c r="P143" s="1134"/>
      <c r="Q143" s="1134"/>
      <c r="R143" s="1264"/>
      <c r="S143" s="1133"/>
      <c r="T143" s="198"/>
      <c r="U143" s="199"/>
      <c r="V143" s="199" t="s">
        <v>1437</v>
      </c>
      <c r="W143" s="200"/>
      <c r="Y143" s="369"/>
      <c r="Z143" s="369"/>
      <c r="AA143" s="369"/>
      <c r="AB143" s="369"/>
      <c r="AC143" s="369"/>
      <c r="AD143" s="369"/>
      <c r="AE143" s="369"/>
      <c r="AF143" s="369"/>
      <c r="AG143" s="369"/>
      <c r="AH143" s="369"/>
      <c r="AI143" s="369"/>
      <c r="AJ143" s="369"/>
      <c r="AK143" s="369"/>
    </row>
    <row r="144" spans="1:43" s="44" customFormat="1" ht="17.25" customHeight="1">
      <c r="A144" s="78"/>
      <c r="D144" s="1144"/>
      <c r="E144" s="1146"/>
      <c r="F144" s="1148"/>
      <c r="G144" s="1151"/>
      <c r="H144" s="1144"/>
      <c r="I144" s="1144"/>
      <c r="J144" s="1290"/>
      <c r="K144" s="1196"/>
      <c r="L144" s="1144"/>
      <c r="M144" s="1144"/>
      <c r="N144" s="1288"/>
      <c r="O144" s="1138"/>
      <c r="P144" s="198"/>
      <c r="Q144" s="199"/>
      <c r="R144" s="199" t="s">
        <v>1438</v>
      </c>
      <c r="S144" s="197"/>
      <c r="T144" s="197"/>
      <c r="U144" s="197"/>
      <c r="V144" s="197"/>
      <c r="W144" s="200"/>
      <c r="Y144" s="369"/>
      <c r="Z144" s="369"/>
      <c r="AA144" s="369"/>
      <c r="AB144" s="369"/>
      <c r="AC144" s="369"/>
      <c r="AD144" s="369"/>
      <c r="AE144" s="369"/>
      <c r="AF144" s="369"/>
      <c r="AG144" s="369"/>
      <c r="AH144" s="369"/>
      <c r="AI144" s="369"/>
      <c r="AJ144" s="369"/>
      <c r="AK144" s="369"/>
    </row>
    <row r="145" spans="1:43" s="44" customFormat="1" ht="17.25" customHeight="1">
      <c r="A145" s="78"/>
      <c r="D145" s="1144"/>
      <c r="E145" s="1146"/>
      <c r="F145" s="1148"/>
      <c r="G145" s="1151"/>
      <c r="H145" s="1144"/>
      <c r="I145" s="1144"/>
      <c r="J145" s="1290"/>
      <c r="K145" s="1138"/>
      <c r="L145" s="198"/>
      <c r="M145" s="199"/>
      <c r="N145" s="199" t="s">
        <v>1439</v>
      </c>
      <c r="O145" s="199"/>
      <c r="P145" s="199"/>
      <c r="Q145" s="199"/>
      <c r="R145" s="199"/>
      <c r="S145" s="197"/>
      <c r="T145" s="197"/>
      <c r="U145" s="197"/>
      <c r="V145" s="197"/>
      <c r="W145" s="200"/>
      <c r="Y145" s="369"/>
      <c r="Z145" s="369"/>
      <c r="AA145" s="369"/>
      <c r="AB145" s="369"/>
      <c r="AC145" s="369"/>
      <c r="AD145" s="369"/>
      <c r="AE145" s="369"/>
      <c r="AF145" s="369"/>
      <c r="AG145" s="369"/>
      <c r="AH145" s="369"/>
      <c r="AI145" s="369"/>
      <c r="AJ145" s="369"/>
      <c r="AK145" s="369"/>
    </row>
    <row r="146" spans="1:43" s="44" customFormat="1" ht="17.25" customHeight="1">
      <c r="A146" s="78"/>
      <c r="D146" s="1144"/>
      <c r="E146" s="1146"/>
      <c r="F146" s="1149"/>
      <c r="G146" s="1151"/>
      <c r="H146" s="198"/>
      <c r="I146" s="199"/>
      <c r="J146" s="199" t="s">
        <v>1440</v>
      </c>
      <c r="K146" s="199"/>
      <c r="L146" s="199"/>
      <c r="M146" s="199"/>
      <c r="N146" s="199"/>
      <c r="O146" s="199"/>
      <c r="P146" s="199"/>
      <c r="Q146" s="199"/>
      <c r="R146" s="199"/>
      <c r="S146" s="197"/>
      <c r="T146" s="197"/>
      <c r="U146" s="197"/>
      <c r="V146" s="197"/>
      <c r="W146" s="200"/>
      <c r="Y146" s="369"/>
      <c r="Z146" s="369"/>
      <c r="AA146" s="369"/>
      <c r="AB146" s="369"/>
      <c r="AC146" s="369"/>
      <c r="AD146" s="369"/>
      <c r="AE146" s="369"/>
      <c r="AF146" s="369"/>
      <c r="AG146" s="369"/>
      <c r="AH146" s="369"/>
      <c r="AI146" s="369"/>
      <c r="AJ146" s="369"/>
      <c r="AK146" s="369"/>
    </row>
    <row r="147" spans="1:43" ht="17.25" customHeight="1">
      <c r="G147" s="41"/>
      <c r="H147" s="41"/>
      <c r="I147" s="41"/>
    </row>
    <row r="148" spans="1:43" s="44" customFormat="1" ht="17.25" customHeight="1">
      <c r="A148" s="78"/>
      <c r="C148" s="86"/>
      <c r="D148" s="1014"/>
      <c r="E148" s="1015"/>
      <c r="F148" s="1000"/>
      <c r="G148" s="1016"/>
      <c r="H148" s="1260"/>
      <c r="I148" s="1260">
        <v>1</v>
      </c>
      <c r="J148" s="1289"/>
      <c r="K148" s="1195" t="s">
        <v>67</v>
      </c>
      <c r="L148" s="1134"/>
      <c r="M148" s="1134" t="s">
        <v>109</v>
      </c>
      <c r="N148" s="1287" t="str">
        <f>IF(Z148="","",INDEX(TERRITORY_MR_LIST,MATCH(Z148,TERRITORY_LIST_ID,0)))</f>
        <v/>
      </c>
      <c r="O148" s="1195" t="s">
        <v>67</v>
      </c>
      <c r="P148" s="1134"/>
      <c r="Q148" s="1134" t="s">
        <v>109</v>
      </c>
      <c r="R148" s="1264" t="s">
        <v>17</v>
      </c>
      <c r="S148" s="1133" t="s">
        <v>67</v>
      </c>
      <c r="T148" s="52"/>
      <c r="U148" s="52" t="s">
        <v>109</v>
      </c>
      <c r="V148" s="271" t="s">
        <v>17</v>
      </c>
      <c r="W148" s="46"/>
      <c r="Y148" s="785"/>
      <c r="Z148" s="785"/>
      <c r="AA148" s="785"/>
      <c r="AB148" s="785"/>
      <c r="AC148" s="785"/>
      <c r="AD148" s="785"/>
      <c r="AE148" s="785"/>
      <c r="AF148" s="785"/>
      <c r="AG148" s="785"/>
      <c r="AH148" s="785"/>
      <c r="AI148" s="785"/>
      <c r="AJ148" s="785"/>
      <c r="AK148" s="785"/>
      <c r="AL148" s="149"/>
      <c r="AM148" s="149"/>
      <c r="AN148" s="785"/>
      <c r="AO148" s="785"/>
      <c r="AP148" s="785"/>
      <c r="AQ148" s="785"/>
    </row>
    <row r="149" spans="1:43" s="44" customFormat="1" ht="17.25" customHeight="1">
      <c r="A149" s="78"/>
      <c r="D149" s="1014"/>
      <c r="E149" s="1015"/>
      <c r="F149" s="1000"/>
      <c r="G149" s="1016"/>
      <c r="H149" s="1260"/>
      <c r="I149" s="1260"/>
      <c r="J149" s="1289"/>
      <c r="K149" s="1196"/>
      <c r="L149" s="1134"/>
      <c r="M149" s="1134"/>
      <c r="N149" s="1287"/>
      <c r="O149" s="1196"/>
      <c r="P149" s="1134"/>
      <c r="Q149" s="1134"/>
      <c r="R149" s="1264"/>
      <c r="S149" s="1133"/>
      <c r="T149" s="198"/>
      <c r="U149" s="199"/>
      <c r="V149" s="199" t="s">
        <v>1437</v>
      </c>
      <c r="W149" s="200"/>
      <c r="Y149" s="369"/>
      <c r="Z149" s="369"/>
      <c r="AA149" s="369"/>
      <c r="AB149" s="369"/>
      <c r="AC149" s="369"/>
      <c r="AD149" s="369"/>
      <c r="AE149" s="369"/>
      <c r="AF149" s="369"/>
      <c r="AG149" s="369"/>
      <c r="AH149" s="369"/>
      <c r="AI149" s="369"/>
      <c r="AJ149" s="369"/>
      <c r="AK149" s="369"/>
    </row>
    <row r="150" spans="1:43" s="44" customFormat="1" ht="17.25" customHeight="1">
      <c r="A150" s="78"/>
      <c r="D150" s="1014"/>
      <c r="E150" s="1015"/>
      <c r="F150" s="1000"/>
      <c r="G150" s="1016"/>
      <c r="H150" s="1144"/>
      <c r="I150" s="1144"/>
      <c r="J150" s="1290"/>
      <c r="K150" s="1196"/>
      <c r="L150" s="1144"/>
      <c r="M150" s="1144"/>
      <c r="N150" s="1288"/>
      <c r="O150" s="1138"/>
      <c r="P150" s="198"/>
      <c r="Q150" s="199"/>
      <c r="R150" s="199" t="s">
        <v>1438</v>
      </c>
      <c r="S150" s="197"/>
      <c r="T150" s="197"/>
      <c r="U150" s="197"/>
      <c r="V150" s="197"/>
      <c r="W150" s="200"/>
      <c r="Y150" s="369"/>
      <c r="Z150" s="369"/>
      <c r="AA150" s="369"/>
      <c r="AB150" s="369"/>
      <c r="AC150" s="369"/>
      <c r="AD150" s="369"/>
      <c r="AE150" s="369"/>
      <c r="AF150" s="369"/>
      <c r="AG150" s="369"/>
      <c r="AH150" s="369"/>
      <c r="AI150" s="369"/>
      <c r="AJ150" s="369"/>
      <c r="AK150" s="369"/>
    </row>
    <row r="151" spans="1:43" s="44" customFormat="1" ht="17.25" customHeight="1">
      <c r="A151" s="78"/>
      <c r="D151" s="1014"/>
      <c r="E151" s="1015"/>
      <c r="F151" s="1000"/>
      <c r="G151" s="1016"/>
      <c r="H151" s="1144"/>
      <c r="I151" s="1144"/>
      <c r="J151" s="1290"/>
      <c r="K151" s="1138"/>
      <c r="L151" s="198"/>
      <c r="M151" s="199"/>
      <c r="N151" s="199" t="s">
        <v>1439</v>
      </c>
      <c r="O151" s="199"/>
      <c r="P151" s="199"/>
      <c r="Q151" s="199"/>
      <c r="R151" s="199"/>
      <c r="S151" s="197"/>
      <c r="T151" s="197"/>
      <c r="U151" s="197"/>
      <c r="V151" s="197"/>
      <c r="W151" s="200"/>
      <c r="Y151" s="369"/>
      <c r="Z151" s="369"/>
      <c r="AA151" s="369"/>
      <c r="AB151" s="369"/>
      <c r="AC151" s="369"/>
      <c r="AD151" s="369"/>
      <c r="AE151" s="369"/>
      <c r="AF151" s="369"/>
      <c r="AG151" s="369"/>
      <c r="AH151" s="369"/>
      <c r="AI151" s="369"/>
      <c r="AJ151" s="369"/>
      <c r="AK151" s="369"/>
    </row>
    <row r="152" spans="1:43" ht="17.25" customHeight="1">
      <c r="G152" s="41"/>
      <c r="H152" s="41"/>
      <c r="I152" s="41"/>
    </row>
    <row r="153" spans="1:43" s="44" customFormat="1" ht="17.25" customHeight="1">
      <c r="A153" s="78"/>
      <c r="C153" s="86"/>
      <c r="D153" s="1014"/>
      <c r="E153" s="1015"/>
      <c r="F153" s="1000"/>
      <c r="G153" s="1016"/>
      <c r="H153" s="1014"/>
      <c r="I153" s="1014"/>
      <c r="J153" s="1026"/>
      <c r="K153" s="1023"/>
      <c r="L153" s="1134"/>
      <c r="M153" s="1134" t="s">
        <v>109</v>
      </c>
      <c r="N153" s="1287" t="str">
        <f>IF(Z153="","",INDEX(TERRITORY_MR_LIST,MATCH(Z153,TERRITORY_LIST_ID,0)))</f>
        <v/>
      </c>
      <c r="O153" s="1195" t="s">
        <v>67</v>
      </c>
      <c r="P153" s="1134"/>
      <c r="Q153" s="1134" t="s">
        <v>109</v>
      </c>
      <c r="R153" s="1264" t="s">
        <v>17</v>
      </c>
      <c r="S153" s="1133" t="s">
        <v>67</v>
      </c>
      <c r="T153" s="52"/>
      <c r="U153" s="52" t="s">
        <v>109</v>
      </c>
      <c r="V153" s="271" t="s">
        <v>17</v>
      </c>
      <c r="W153" s="46"/>
      <c r="Y153" s="785"/>
      <c r="Z153" s="785"/>
      <c r="AA153" s="785"/>
      <c r="AB153" s="785"/>
      <c r="AC153" s="785"/>
      <c r="AD153" s="785"/>
      <c r="AE153" s="785"/>
      <c r="AF153" s="785"/>
      <c r="AG153" s="785"/>
      <c r="AH153" s="785"/>
      <c r="AI153" s="785"/>
      <c r="AJ153" s="785"/>
      <c r="AK153" s="785"/>
      <c r="AL153" s="149"/>
      <c r="AM153" s="149"/>
      <c r="AN153" s="785"/>
      <c r="AO153" s="785"/>
      <c r="AP153" s="785"/>
      <c r="AQ153" s="785"/>
    </row>
    <row r="154" spans="1:43" s="44" customFormat="1" ht="17.25" customHeight="1">
      <c r="A154" s="78"/>
      <c r="D154" s="1014"/>
      <c r="E154" s="1015"/>
      <c r="F154" s="1000"/>
      <c r="G154" s="1016"/>
      <c r="H154" s="1014"/>
      <c r="I154" s="1014"/>
      <c r="J154" s="1026"/>
      <c r="K154" s="1023"/>
      <c r="L154" s="1134"/>
      <c r="M154" s="1134"/>
      <c r="N154" s="1287"/>
      <c r="O154" s="1196"/>
      <c r="P154" s="1134"/>
      <c r="Q154" s="1134"/>
      <c r="R154" s="1264"/>
      <c r="S154" s="1133"/>
      <c r="T154" s="198"/>
      <c r="U154" s="199"/>
      <c r="V154" s="199" t="s">
        <v>1437</v>
      </c>
      <c r="W154" s="200"/>
      <c r="Y154" s="369"/>
      <c r="Z154" s="369"/>
      <c r="AA154" s="369"/>
      <c r="AB154" s="369"/>
      <c r="AC154" s="369"/>
      <c r="AD154" s="369"/>
      <c r="AE154" s="369"/>
      <c r="AF154" s="369"/>
      <c r="AG154" s="369"/>
      <c r="AH154" s="369"/>
      <c r="AI154" s="369"/>
      <c r="AJ154" s="369"/>
      <c r="AK154" s="369"/>
    </row>
    <row r="155" spans="1:43" s="44" customFormat="1" ht="17.25" customHeight="1">
      <c r="A155" s="78"/>
      <c r="D155" s="1014"/>
      <c r="E155" s="1015"/>
      <c r="F155" s="1000"/>
      <c r="G155" s="1016"/>
      <c r="H155" s="1014"/>
      <c r="I155" s="1014"/>
      <c r="J155" s="1026"/>
      <c r="K155" s="1023"/>
      <c r="L155" s="1144"/>
      <c r="M155" s="1144"/>
      <c r="N155" s="1288"/>
      <c r="O155" s="1138"/>
      <c r="P155" s="198"/>
      <c r="Q155" s="199"/>
      <c r="R155" s="199" t="s">
        <v>1438</v>
      </c>
      <c r="S155" s="197"/>
      <c r="T155" s="197"/>
      <c r="U155" s="197"/>
      <c r="V155" s="197"/>
      <c r="W155" s="200"/>
      <c r="Y155" s="369"/>
      <c r="Z155" s="369"/>
      <c r="AA155" s="369"/>
      <c r="AB155" s="369"/>
      <c r="AC155" s="369"/>
      <c r="AD155" s="369"/>
      <c r="AE155" s="369"/>
      <c r="AF155" s="369"/>
      <c r="AG155" s="369"/>
      <c r="AH155" s="369"/>
      <c r="AI155" s="369"/>
      <c r="AJ155" s="369"/>
      <c r="AK155" s="369"/>
    </row>
    <row r="156" spans="1:43" ht="17.25" customHeight="1">
      <c r="G156" s="41"/>
      <c r="H156" s="41"/>
      <c r="I156" s="41"/>
    </row>
    <row r="157" spans="1:43" s="44" customFormat="1" ht="17.25" customHeight="1">
      <c r="A157" s="78"/>
      <c r="C157" s="86"/>
      <c r="D157" s="1014"/>
      <c r="E157" s="1015"/>
      <c r="F157" s="1000"/>
      <c r="G157" s="1016"/>
      <c r="H157" s="1014"/>
      <c r="I157" s="1014"/>
      <c r="J157" s="1026"/>
      <c r="K157" s="1023"/>
      <c r="L157" s="915"/>
      <c r="M157" s="915"/>
      <c r="N157" s="1025"/>
      <c r="O157" s="1004"/>
      <c r="P157" s="1134"/>
      <c r="Q157" s="1134" t="s">
        <v>109</v>
      </c>
      <c r="R157" s="1264" t="s">
        <v>17</v>
      </c>
      <c r="S157" s="1133" t="s">
        <v>67</v>
      </c>
      <c r="T157" s="52"/>
      <c r="U157" s="52" t="s">
        <v>109</v>
      </c>
      <c r="V157" s="271" t="s">
        <v>17</v>
      </c>
      <c r="W157" s="46"/>
      <c r="Y157" s="785"/>
      <c r="Z157" s="785"/>
      <c r="AA157" s="785"/>
      <c r="AB157" s="785"/>
      <c r="AC157" s="785"/>
      <c r="AD157" s="785"/>
      <c r="AE157" s="785"/>
      <c r="AF157" s="785"/>
      <c r="AG157" s="785"/>
      <c r="AH157" s="785"/>
      <c r="AI157" s="785"/>
      <c r="AJ157" s="785"/>
      <c r="AK157" s="785"/>
      <c r="AL157" s="149"/>
      <c r="AM157" s="149"/>
      <c r="AN157" s="785"/>
      <c r="AO157" s="785"/>
      <c r="AP157" s="785"/>
      <c r="AQ157" s="785"/>
    </row>
    <row r="158" spans="1:43" s="44" customFormat="1" ht="17.25" customHeight="1">
      <c r="A158" s="78"/>
      <c r="D158" s="1014"/>
      <c r="E158" s="1015"/>
      <c r="F158" s="1000"/>
      <c r="G158" s="1016"/>
      <c r="H158" s="1014"/>
      <c r="I158" s="1014"/>
      <c r="J158" s="1026"/>
      <c r="K158" s="1023"/>
      <c r="L158" s="915"/>
      <c r="M158" s="915"/>
      <c r="N158" s="1025"/>
      <c r="O158" s="1004"/>
      <c r="P158" s="1134"/>
      <c r="Q158" s="1134"/>
      <c r="R158" s="1264"/>
      <c r="S158" s="1133"/>
      <c r="T158" s="198"/>
      <c r="U158" s="199"/>
      <c r="V158" s="199" t="s">
        <v>1437</v>
      </c>
      <c r="W158" s="200"/>
      <c r="Y158" s="369"/>
      <c r="Z158" s="369"/>
      <c r="AA158" s="369"/>
      <c r="AB158" s="369"/>
      <c r="AC158" s="369"/>
      <c r="AD158" s="369"/>
      <c r="AE158" s="369"/>
      <c r="AF158" s="369"/>
      <c r="AG158" s="369"/>
      <c r="AH158" s="369"/>
      <c r="AI158" s="369"/>
      <c r="AJ158" s="369"/>
      <c r="AK158" s="369"/>
    </row>
    <row r="159" spans="1:43" ht="17.25" customHeight="1">
      <c r="G159" s="41"/>
      <c r="H159" s="41"/>
      <c r="I159" s="41"/>
    </row>
    <row r="160" spans="1:43" s="44" customFormat="1" ht="17.25" customHeight="1">
      <c r="A160" s="78"/>
      <c r="C160" s="86"/>
      <c r="D160" s="1014"/>
      <c r="E160" s="1015"/>
      <c r="F160" s="1000"/>
      <c r="G160" s="1016"/>
      <c r="H160" s="915"/>
      <c r="I160" s="915"/>
      <c r="J160" s="1017"/>
      <c r="K160" s="1016"/>
      <c r="L160" s="915"/>
      <c r="M160" s="915"/>
      <c r="N160" s="1016"/>
      <c r="O160" s="1016"/>
      <c r="P160" s="915"/>
      <c r="Q160" s="915"/>
      <c r="R160" s="1018"/>
      <c r="S160" s="1016"/>
      <c r="T160" s="52"/>
      <c r="U160" s="52" t="s">
        <v>109</v>
      </c>
      <c r="V160" s="271" t="s">
        <v>17</v>
      </c>
      <c r="W160" s="46"/>
      <c r="Y160" s="785"/>
      <c r="Z160" s="785"/>
      <c r="AA160" s="785"/>
      <c r="AB160" s="785"/>
      <c r="AC160" s="785"/>
      <c r="AD160" s="785"/>
      <c r="AE160" s="785"/>
      <c r="AF160" s="785"/>
      <c r="AG160" s="785"/>
      <c r="AH160" s="785"/>
      <c r="AI160" s="785"/>
      <c r="AJ160" s="785"/>
      <c r="AK160" s="785"/>
      <c r="AL160" s="149"/>
      <c r="AM160" s="149"/>
      <c r="AN160" s="785"/>
      <c r="AO160" s="785"/>
      <c r="AP160" s="785"/>
      <c r="AQ160" s="785"/>
    </row>
    <row r="161" spans="1:43" ht="17.25" customHeight="1"/>
    <row r="162" spans="1:43" s="23" customFormat="1" ht="17.25" customHeight="1">
      <c r="A162" s="23" t="s">
        <v>1441</v>
      </c>
    </row>
    <row r="163" spans="1:43" ht="17.25" customHeight="1">
      <c r="G163" s="41"/>
      <c r="H163" s="41"/>
      <c r="I163" s="41"/>
    </row>
    <row r="164" spans="1:43" s="44" customFormat="1" ht="17.25" customHeight="1">
      <c r="A164" s="78"/>
      <c r="C164" s="86"/>
      <c r="D164" s="1260"/>
      <c r="E164" s="1145"/>
      <c r="F164" s="1147"/>
      <c r="G164" s="1150"/>
      <c r="H164" s="1260"/>
      <c r="I164" s="1260">
        <v>1</v>
      </c>
      <c r="J164" s="1289"/>
      <c r="K164" s="1195" t="s">
        <v>67</v>
      </c>
      <c r="L164" s="1134"/>
      <c r="M164" s="1134" t="s">
        <v>109</v>
      </c>
      <c r="N164" s="1287" t="str">
        <f>IF(Z164="","",INDEX(TERRITORY_MR_LIST,MATCH(Z164,TERRITORY_LIST_ID,0)))</f>
        <v/>
      </c>
      <c r="O164" s="1195" t="s">
        <v>67</v>
      </c>
      <c r="P164" s="1134"/>
      <c r="Q164" s="1134" t="s">
        <v>109</v>
      </c>
      <c r="R164" s="1264" t="s">
        <v>17</v>
      </c>
      <c r="S164" s="1324" t="s">
        <v>57</v>
      </c>
      <c r="T164" s="843"/>
      <c r="U164" s="843" t="s">
        <v>109</v>
      </c>
      <c r="V164" s="850"/>
      <c r="W164" s="1289"/>
      <c r="Y164" s="785"/>
      <c r="Z164" s="785"/>
      <c r="AA164" s="785"/>
      <c r="AB164" s="785"/>
      <c r="AC164" s="785"/>
      <c r="AD164" s="785"/>
      <c r="AE164" s="785"/>
      <c r="AF164" s="785"/>
      <c r="AG164" s="785"/>
      <c r="AH164" s="785"/>
      <c r="AI164" s="785"/>
      <c r="AJ164" s="785"/>
      <c r="AK164" s="785"/>
      <c r="AL164" s="149"/>
      <c r="AM164" s="149"/>
      <c r="AN164" s="785"/>
      <c r="AO164" s="785"/>
      <c r="AP164" s="785"/>
      <c r="AQ164" s="785"/>
    </row>
    <row r="165" spans="1:43" s="44" customFormat="1" ht="17.25" customHeight="1">
      <c r="A165" s="78"/>
      <c r="D165" s="1260"/>
      <c r="E165" s="1145"/>
      <c r="F165" s="1148"/>
      <c r="G165" s="1150"/>
      <c r="H165" s="1260"/>
      <c r="I165" s="1260"/>
      <c r="J165" s="1289"/>
      <c r="K165" s="1196"/>
      <c r="L165" s="1134"/>
      <c r="M165" s="1134"/>
      <c r="N165" s="1287"/>
      <c r="O165" s="1196"/>
      <c r="P165" s="1134"/>
      <c r="Q165" s="1134"/>
      <c r="R165" s="1264"/>
      <c r="S165" s="1324"/>
      <c r="T165" s="851"/>
      <c r="U165" s="852"/>
      <c r="V165" s="852"/>
      <c r="W165" s="1289"/>
      <c r="Y165" s="369"/>
      <c r="Z165" s="369"/>
      <c r="AA165" s="369"/>
      <c r="AB165" s="369"/>
      <c r="AC165" s="369"/>
      <c r="AD165" s="369"/>
      <c r="AE165" s="369"/>
      <c r="AF165" s="369"/>
      <c r="AG165" s="369"/>
      <c r="AH165" s="369"/>
      <c r="AI165" s="369"/>
      <c r="AJ165" s="369"/>
      <c r="AK165" s="369"/>
    </row>
    <row r="166" spans="1:43" s="44" customFormat="1" ht="17.25" customHeight="1">
      <c r="A166" s="78"/>
      <c r="D166" s="1144"/>
      <c r="E166" s="1146"/>
      <c r="F166" s="1148"/>
      <c r="G166" s="1151"/>
      <c r="H166" s="1144"/>
      <c r="I166" s="1144"/>
      <c r="J166" s="1290"/>
      <c r="K166" s="1196"/>
      <c r="L166" s="1144"/>
      <c r="M166" s="1144"/>
      <c r="N166" s="1288"/>
      <c r="O166" s="1138"/>
      <c r="P166" s="198"/>
      <c r="Q166" s="199"/>
      <c r="R166" s="199" t="s">
        <v>1438</v>
      </c>
      <c r="S166" s="197"/>
      <c r="T166" s="197"/>
      <c r="U166" s="197"/>
      <c r="V166" s="197"/>
      <c r="W166" s="849"/>
      <c r="Y166" s="369"/>
      <c r="Z166" s="369"/>
      <c r="AA166" s="369"/>
      <c r="AB166" s="369"/>
      <c r="AC166" s="369"/>
      <c r="AD166" s="369"/>
      <c r="AE166" s="369"/>
      <c r="AF166" s="369"/>
      <c r="AG166" s="369"/>
      <c r="AH166" s="369"/>
      <c r="AI166" s="369"/>
      <c r="AJ166" s="369"/>
      <c r="AK166" s="369"/>
    </row>
    <row r="167" spans="1:43" s="44" customFormat="1" ht="17.25" customHeight="1">
      <c r="A167" s="78"/>
      <c r="D167" s="1144"/>
      <c r="E167" s="1146"/>
      <c r="F167" s="1148"/>
      <c r="G167" s="1151"/>
      <c r="H167" s="1144"/>
      <c r="I167" s="1144"/>
      <c r="J167" s="1290"/>
      <c r="K167" s="1138"/>
      <c r="L167" s="198"/>
      <c r="M167" s="199"/>
      <c r="N167" s="199" t="s">
        <v>1439</v>
      </c>
      <c r="O167" s="199"/>
      <c r="P167" s="199"/>
      <c r="Q167" s="199"/>
      <c r="R167" s="199"/>
      <c r="S167" s="197"/>
      <c r="T167" s="197"/>
      <c r="U167" s="197"/>
      <c r="V167" s="197"/>
      <c r="W167" s="200"/>
      <c r="Y167" s="369"/>
      <c r="Z167" s="369"/>
      <c r="AA167" s="369"/>
      <c r="AB167" s="369"/>
      <c r="AC167" s="369"/>
      <c r="AD167" s="369"/>
      <c r="AE167" s="369"/>
      <c r="AF167" s="369"/>
      <c r="AG167" s="369"/>
      <c r="AH167" s="369"/>
      <c r="AI167" s="369"/>
      <c r="AJ167" s="369"/>
      <c r="AK167" s="369"/>
    </row>
    <row r="168" spans="1:43" s="44" customFormat="1" ht="17.25" customHeight="1">
      <c r="A168" s="78"/>
      <c r="D168" s="1144"/>
      <c r="E168" s="1146"/>
      <c r="F168" s="1149"/>
      <c r="G168" s="1151"/>
      <c r="H168" s="198"/>
      <c r="I168" s="199"/>
      <c r="J168" s="199" t="s">
        <v>1440</v>
      </c>
      <c r="K168" s="199"/>
      <c r="L168" s="199"/>
      <c r="M168" s="199"/>
      <c r="N168" s="199"/>
      <c r="O168" s="199"/>
      <c r="P168" s="199"/>
      <c r="Q168" s="199"/>
      <c r="R168" s="199"/>
      <c r="S168" s="197"/>
      <c r="T168" s="197"/>
      <c r="U168" s="197"/>
      <c r="V168" s="197"/>
      <c r="W168" s="200"/>
      <c r="Y168" s="369"/>
      <c r="Z168" s="369"/>
      <c r="AA168" s="369"/>
      <c r="AB168" s="369"/>
      <c r="AC168" s="369"/>
      <c r="AD168" s="369"/>
      <c r="AE168" s="369"/>
      <c r="AF168" s="369"/>
      <c r="AG168" s="369"/>
      <c r="AH168" s="369"/>
      <c r="AI168" s="369"/>
      <c r="AJ168" s="369"/>
      <c r="AK168" s="369"/>
    </row>
    <row r="169" spans="1:43" ht="17.25" customHeight="1"/>
    <row r="170" spans="1:43" s="44" customFormat="1" ht="17.25" customHeight="1">
      <c r="A170" s="78"/>
      <c r="C170" s="86"/>
      <c r="D170" s="1014"/>
      <c r="E170" s="1015"/>
      <c r="F170" s="1000"/>
      <c r="G170" s="1016"/>
      <c r="H170" s="1260"/>
      <c r="I170" s="1260">
        <v>1</v>
      </c>
      <c r="J170" s="1289"/>
      <c r="K170" s="1195" t="s">
        <v>67</v>
      </c>
      <c r="L170" s="1134"/>
      <c r="M170" s="1134" t="s">
        <v>109</v>
      </c>
      <c r="N170" s="1287" t="str">
        <f>IF(Z170="","",INDEX(TERRITORY_MR_LIST,MATCH(Z170,TERRITORY_LIST_ID,0)))</f>
        <v/>
      </c>
      <c r="O170" s="1195" t="s">
        <v>67</v>
      </c>
      <c r="P170" s="1134"/>
      <c r="Q170" s="1134" t="s">
        <v>109</v>
      </c>
      <c r="R170" s="1264" t="s">
        <v>17</v>
      </c>
      <c r="S170" s="1324" t="s">
        <v>57</v>
      </c>
      <c r="T170" s="843"/>
      <c r="U170" s="843" t="s">
        <v>109</v>
      </c>
      <c r="V170" s="850"/>
      <c r="W170" s="1289"/>
      <c r="Y170" s="785"/>
      <c r="Z170" s="785"/>
      <c r="AA170" s="785"/>
      <c r="AB170" s="785"/>
      <c r="AC170" s="785"/>
      <c r="AD170" s="785"/>
      <c r="AE170" s="785"/>
      <c r="AF170" s="785"/>
      <c r="AG170" s="785"/>
      <c r="AH170" s="785"/>
      <c r="AI170" s="785"/>
      <c r="AJ170" s="785"/>
      <c r="AK170" s="785"/>
      <c r="AL170" s="149"/>
      <c r="AM170" s="149"/>
      <c r="AN170" s="785"/>
      <c r="AO170" s="785"/>
      <c r="AP170" s="785"/>
      <c r="AQ170" s="785"/>
    </row>
    <row r="171" spans="1:43" s="44" customFormat="1" ht="17.25" customHeight="1">
      <c r="A171" s="78"/>
      <c r="D171" s="1014"/>
      <c r="E171" s="1015"/>
      <c r="F171" s="1000"/>
      <c r="G171" s="1016"/>
      <c r="H171" s="1260"/>
      <c r="I171" s="1260"/>
      <c r="J171" s="1289"/>
      <c r="K171" s="1196"/>
      <c r="L171" s="1134"/>
      <c r="M171" s="1134"/>
      <c r="N171" s="1287"/>
      <c r="O171" s="1196"/>
      <c r="P171" s="1134"/>
      <c r="Q171" s="1134"/>
      <c r="R171" s="1264"/>
      <c r="S171" s="1324"/>
      <c r="T171" s="851"/>
      <c r="U171" s="852"/>
      <c r="V171" s="852"/>
      <c r="W171" s="1289"/>
      <c r="Y171" s="369"/>
      <c r="Z171" s="369"/>
      <c r="AA171" s="369"/>
      <c r="AB171" s="369"/>
      <c r="AC171" s="369"/>
      <c r="AD171" s="369"/>
      <c r="AE171" s="369"/>
      <c r="AF171" s="369"/>
      <c r="AG171" s="369"/>
      <c r="AH171" s="369"/>
      <c r="AI171" s="369"/>
      <c r="AJ171" s="369"/>
      <c r="AK171" s="369"/>
    </row>
    <row r="172" spans="1:43" s="44" customFormat="1" ht="17.25" customHeight="1">
      <c r="A172" s="78"/>
      <c r="D172" s="1014"/>
      <c r="E172" s="1015"/>
      <c r="F172" s="1000"/>
      <c r="G172" s="1016"/>
      <c r="H172" s="1144"/>
      <c r="I172" s="1144"/>
      <c r="J172" s="1290"/>
      <c r="K172" s="1196"/>
      <c r="L172" s="1144"/>
      <c r="M172" s="1144"/>
      <c r="N172" s="1288"/>
      <c r="O172" s="1138"/>
      <c r="P172" s="198"/>
      <c r="Q172" s="199"/>
      <c r="R172" s="199" t="s">
        <v>1438</v>
      </c>
      <c r="S172" s="197"/>
      <c r="T172" s="197"/>
      <c r="U172" s="197"/>
      <c r="V172" s="197"/>
      <c r="W172" s="849"/>
      <c r="Y172" s="369"/>
      <c r="Z172" s="369"/>
      <c r="AA172" s="369"/>
      <c r="AB172" s="369"/>
      <c r="AC172" s="369"/>
      <c r="AD172" s="369"/>
      <c r="AE172" s="369"/>
      <c r="AF172" s="369"/>
      <c r="AG172" s="369"/>
      <c r="AH172" s="369"/>
      <c r="AI172" s="369"/>
      <c r="AJ172" s="369"/>
      <c r="AK172" s="369"/>
    </row>
    <row r="173" spans="1:43" s="44" customFormat="1" ht="17.25" customHeight="1">
      <c r="A173" s="78"/>
      <c r="D173" s="1014"/>
      <c r="E173" s="1015"/>
      <c r="F173" s="1000"/>
      <c r="G173" s="1016"/>
      <c r="H173" s="1144"/>
      <c r="I173" s="1144"/>
      <c r="J173" s="1290"/>
      <c r="K173" s="1138"/>
      <c r="L173" s="198"/>
      <c r="M173" s="199"/>
      <c r="N173" s="199" t="s">
        <v>1439</v>
      </c>
      <c r="O173" s="199"/>
      <c r="P173" s="199"/>
      <c r="Q173" s="199"/>
      <c r="R173" s="199"/>
      <c r="S173" s="197"/>
      <c r="T173" s="197"/>
      <c r="U173" s="197"/>
      <c r="V173" s="197"/>
      <c r="W173" s="200"/>
      <c r="Y173" s="369"/>
      <c r="Z173" s="369"/>
      <c r="AA173" s="369"/>
      <c r="AB173" s="369"/>
      <c r="AC173" s="369"/>
      <c r="AD173" s="369"/>
      <c r="AE173" s="369"/>
      <c r="AF173" s="369"/>
      <c r="AG173" s="369"/>
      <c r="AH173" s="369"/>
      <c r="AI173" s="369"/>
      <c r="AJ173" s="369"/>
      <c r="AK173" s="369"/>
    </row>
    <row r="174" spans="1:43" ht="17.25" customHeight="1"/>
    <row r="175" spans="1:43" s="44" customFormat="1" ht="17.25" customHeight="1">
      <c r="A175" s="78"/>
      <c r="C175" s="86"/>
      <c r="D175" s="1014"/>
      <c r="E175" s="1015"/>
      <c r="F175" s="1000"/>
      <c r="G175" s="1016"/>
      <c r="H175" s="1014"/>
      <c r="I175" s="1014"/>
      <c r="J175" s="1024"/>
      <c r="K175" s="1016"/>
      <c r="L175" s="1134"/>
      <c r="M175" s="1134" t="s">
        <v>109</v>
      </c>
      <c r="N175" s="1287" t="str">
        <f>IF(Z175="","",INDEX(TERRITORY_MR_LIST,MATCH(Z175,TERRITORY_LIST_ID,0)))</f>
        <v/>
      </c>
      <c r="O175" s="1195" t="s">
        <v>67</v>
      </c>
      <c r="P175" s="1134"/>
      <c r="Q175" s="1134" t="s">
        <v>109</v>
      </c>
      <c r="R175" s="1264" t="s">
        <v>17</v>
      </c>
      <c r="S175" s="1324" t="s">
        <v>57</v>
      </c>
      <c r="T175" s="843"/>
      <c r="U175" s="843" t="s">
        <v>109</v>
      </c>
      <c r="V175" s="850"/>
      <c r="W175" s="1289"/>
      <c r="Y175" s="785"/>
      <c r="Z175" s="785"/>
      <c r="AA175" s="785"/>
      <c r="AB175" s="785"/>
      <c r="AC175" s="785"/>
      <c r="AD175" s="785"/>
      <c r="AE175" s="785"/>
      <c r="AF175" s="785"/>
      <c r="AG175" s="785"/>
      <c r="AH175" s="785"/>
      <c r="AI175" s="785"/>
      <c r="AJ175" s="785"/>
      <c r="AK175" s="785"/>
      <c r="AL175" s="149"/>
      <c r="AM175" s="149"/>
      <c r="AN175" s="785"/>
      <c r="AO175" s="785"/>
      <c r="AP175" s="785"/>
      <c r="AQ175" s="785"/>
    </row>
    <row r="176" spans="1:43" s="44" customFormat="1" ht="17.25" customHeight="1">
      <c r="A176" s="78"/>
      <c r="D176" s="1014"/>
      <c r="E176" s="1015"/>
      <c r="F176" s="1000"/>
      <c r="G176" s="1016"/>
      <c r="H176" s="1014"/>
      <c r="I176" s="1014"/>
      <c r="J176" s="1024"/>
      <c r="K176" s="1016"/>
      <c r="L176" s="1134"/>
      <c r="M176" s="1134"/>
      <c r="N176" s="1287"/>
      <c r="O176" s="1196"/>
      <c r="P176" s="1134"/>
      <c r="Q176" s="1134"/>
      <c r="R176" s="1264"/>
      <c r="S176" s="1324"/>
      <c r="T176" s="851"/>
      <c r="U176" s="852"/>
      <c r="V176" s="852"/>
      <c r="W176" s="1289"/>
      <c r="Y176" s="369"/>
      <c r="Z176" s="369"/>
      <c r="AA176" s="369"/>
      <c r="AB176" s="369"/>
      <c r="AC176" s="369"/>
      <c r="AD176" s="369"/>
      <c r="AE176" s="369"/>
      <c r="AF176" s="369"/>
      <c r="AG176" s="369"/>
      <c r="AH176" s="369"/>
      <c r="AI176" s="369"/>
      <c r="AJ176" s="369"/>
      <c r="AK176" s="369"/>
    </row>
    <row r="177" spans="1:43" s="44" customFormat="1" ht="17.25" customHeight="1">
      <c r="A177" s="78"/>
      <c r="D177" s="1014"/>
      <c r="E177" s="1015"/>
      <c r="F177" s="1000"/>
      <c r="G177" s="1016"/>
      <c r="H177" s="1014"/>
      <c r="I177" s="1014"/>
      <c r="J177" s="1024"/>
      <c r="K177" s="1016"/>
      <c r="L177" s="1144"/>
      <c r="M177" s="1144"/>
      <c r="N177" s="1288"/>
      <c r="O177" s="1138"/>
      <c r="P177" s="198"/>
      <c r="Q177" s="199"/>
      <c r="R177" s="199" t="s">
        <v>1438</v>
      </c>
      <c r="S177" s="197"/>
      <c r="T177" s="197"/>
      <c r="U177" s="197"/>
      <c r="V177" s="197"/>
      <c r="W177" s="849"/>
      <c r="Y177" s="369"/>
      <c r="Z177" s="369"/>
      <c r="AA177" s="369"/>
      <c r="AB177" s="369"/>
      <c r="AC177" s="369"/>
      <c r="AD177" s="369"/>
      <c r="AE177" s="369"/>
      <c r="AF177" s="369"/>
      <c r="AG177" s="369"/>
      <c r="AH177" s="369"/>
      <c r="AI177" s="369"/>
      <c r="AJ177" s="369"/>
      <c r="AK177" s="369"/>
    </row>
    <row r="178" spans="1:43" ht="17.25" customHeight="1"/>
    <row r="179" spans="1:43" s="44" customFormat="1" ht="17.25" customHeight="1">
      <c r="A179" s="78"/>
      <c r="C179" s="86"/>
      <c r="D179" s="1014"/>
      <c r="E179" s="1015"/>
      <c r="F179" s="1000"/>
      <c r="G179" s="1016"/>
      <c r="H179" s="1014"/>
      <c r="I179" s="1014"/>
      <c r="J179" s="1024"/>
      <c r="K179" s="1016"/>
      <c r="L179" s="1014"/>
      <c r="M179" s="1014"/>
      <c r="N179" s="1025"/>
      <c r="O179" s="1004"/>
      <c r="P179" s="1134"/>
      <c r="Q179" s="1134" t="s">
        <v>109</v>
      </c>
      <c r="R179" s="1264" t="s">
        <v>17</v>
      </c>
      <c r="S179" s="1324" t="s">
        <v>57</v>
      </c>
      <c r="T179" s="843"/>
      <c r="U179" s="843" t="s">
        <v>109</v>
      </c>
      <c r="V179" s="850"/>
      <c r="W179" s="1289"/>
      <c r="Y179" s="785"/>
      <c r="Z179" s="785"/>
      <c r="AA179" s="785"/>
      <c r="AB179" s="785"/>
      <c r="AC179" s="785"/>
      <c r="AD179" s="785"/>
      <c r="AE179" s="785"/>
      <c r="AF179" s="785"/>
      <c r="AG179" s="785"/>
      <c r="AH179" s="785"/>
      <c r="AI179" s="785"/>
      <c r="AJ179" s="785"/>
      <c r="AK179" s="785"/>
      <c r="AL179" s="149"/>
      <c r="AM179" s="149"/>
      <c r="AN179" s="785"/>
      <c r="AO179" s="785"/>
      <c r="AP179" s="785"/>
      <c r="AQ179" s="785"/>
    </row>
    <row r="180" spans="1:43" s="44" customFormat="1" ht="17.25" customHeight="1">
      <c r="A180" s="78"/>
      <c r="D180" s="1014"/>
      <c r="E180" s="1015"/>
      <c r="F180" s="1000"/>
      <c r="G180" s="1016"/>
      <c r="H180" s="1014"/>
      <c r="I180" s="1014"/>
      <c r="J180" s="1024"/>
      <c r="K180" s="1016"/>
      <c r="L180" s="1014"/>
      <c r="M180" s="1014"/>
      <c r="N180" s="1025"/>
      <c r="O180" s="1004"/>
      <c r="P180" s="1134"/>
      <c r="Q180" s="1134"/>
      <c r="R180" s="1264"/>
      <c r="S180" s="1324"/>
      <c r="T180" s="851"/>
      <c r="U180" s="852"/>
      <c r="V180" s="852"/>
      <c r="W180" s="1289"/>
      <c r="Y180" s="369"/>
      <c r="Z180" s="369"/>
      <c r="AA180" s="369"/>
      <c r="AB180" s="369"/>
      <c r="AC180" s="369"/>
      <c r="AD180" s="369"/>
      <c r="AE180" s="369"/>
      <c r="AF180" s="369"/>
      <c r="AG180" s="369"/>
      <c r="AH180" s="369"/>
      <c r="AI180" s="369"/>
      <c r="AJ180" s="369"/>
      <c r="AK180" s="369"/>
    </row>
    <row r="181" spans="1:43" ht="17.25" customHeight="1"/>
    <row r="182" spans="1:43" ht="16.5" customHeight="1">
      <c r="A182" s="78"/>
      <c r="B182" s="44"/>
      <c r="C182" s="44"/>
      <c r="D182" s="1260"/>
      <c r="E182" s="1192"/>
      <c r="F182" s="1192"/>
      <c r="G182" s="1123"/>
      <c r="H182" s="1152"/>
      <c r="I182" s="1154"/>
      <c r="J182" s="1156"/>
      <c r="K182" s="1141"/>
      <c r="L182" s="1141"/>
      <c r="M182" s="1141"/>
      <c r="N182" s="1159"/>
      <c r="O182" s="1141"/>
      <c r="P182" s="1141"/>
      <c r="Q182" s="1141"/>
      <c r="R182" s="1162"/>
      <c r="S182" s="1141"/>
      <c r="T182" s="800"/>
      <c r="U182" s="800"/>
      <c r="V182" s="801"/>
      <c r="W182" s="802"/>
    </row>
    <row r="183" spans="1:43" ht="16.5" customHeight="1">
      <c r="A183" s="78"/>
      <c r="B183" s="44"/>
      <c r="C183" s="44"/>
      <c r="D183" s="1260"/>
      <c r="E183" s="1192"/>
      <c r="F183" s="1192"/>
      <c r="G183" s="1123"/>
      <c r="H183" s="1153"/>
      <c r="I183" s="1155"/>
      <c r="J183" s="1157"/>
      <c r="K183" s="1142"/>
      <c r="L183" s="1142"/>
      <c r="M183" s="1142"/>
      <c r="N183" s="1160"/>
      <c r="O183" s="1142"/>
      <c r="P183" s="1142"/>
      <c r="Q183" s="1142"/>
      <c r="R183" s="1161"/>
      <c r="S183" s="1142"/>
      <c r="T183" s="803"/>
      <c r="U183" s="803"/>
      <c r="V183" s="803"/>
      <c r="W183" s="804"/>
    </row>
    <row r="184" spans="1:43" ht="17.25" customHeight="1">
      <c r="A184" s="78"/>
      <c r="B184" s="44"/>
      <c r="C184" s="44"/>
      <c r="D184" s="1260"/>
      <c r="E184" s="1192"/>
      <c r="F184" s="1192"/>
      <c r="G184" s="1123"/>
      <c r="H184" s="1153"/>
      <c r="I184" s="1155"/>
      <c r="J184" s="1158"/>
      <c r="K184" s="1142"/>
      <c r="L184" s="1142"/>
      <c r="M184" s="1142"/>
      <c r="N184" s="1161"/>
      <c r="O184" s="1142"/>
      <c r="P184" s="214"/>
      <c r="Q184" s="803"/>
      <c r="R184" s="803"/>
      <c r="S184" s="44"/>
      <c r="T184" s="44"/>
      <c r="U184" s="44"/>
      <c r="V184" s="44"/>
      <c r="W184" s="804"/>
    </row>
    <row r="185" spans="1:43" ht="17.25" customHeight="1">
      <c r="A185" s="78"/>
      <c r="B185" s="44"/>
      <c r="C185" s="44"/>
      <c r="D185" s="1260"/>
      <c r="E185" s="1192"/>
      <c r="F185" s="1192"/>
      <c r="G185" s="1123"/>
      <c r="H185" s="1153"/>
      <c r="I185" s="1155"/>
      <c r="J185" s="1158"/>
      <c r="K185" s="1142"/>
      <c r="L185" s="803"/>
      <c r="M185" s="803"/>
      <c r="N185" s="803"/>
      <c r="O185" s="803"/>
      <c r="P185" s="803"/>
      <c r="Q185" s="803"/>
      <c r="R185" s="803"/>
      <c r="S185" s="44"/>
      <c r="T185" s="44"/>
      <c r="U185" s="44"/>
      <c r="V185" s="44"/>
      <c r="W185" s="804"/>
    </row>
    <row r="186" spans="1:43" ht="17.25" customHeight="1">
      <c r="A186" s="78"/>
      <c r="B186" s="44"/>
      <c r="C186" s="44"/>
      <c r="D186" s="1260"/>
      <c r="E186" s="1192"/>
      <c r="F186" s="1192"/>
      <c r="G186" s="1123"/>
      <c r="H186" s="805"/>
      <c r="I186" s="806"/>
      <c r="J186" s="806"/>
      <c r="K186" s="806"/>
      <c r="L186" s="806"/>
      <c r="M186" s="806"/>
      <c r="N186" s="806"/>
      <c r="O186" s="806"/>
      <c r="P186" s="806"/>
      <c r="Q186" s="806"/>
      <c r="R186" s="806"/>
      <c r="S186" s="807"/>
      <c r="T186" s="807"/>
      <c r="U186" s="807"/>
      <c r="V186" s="807"/>
      <c r="W186" s="808"/>
    </row>
    <row r="187" spans="1:43" ht="17.25" customHeight="1"/>
    <row r="188" spans="1:43" s="23" customFormat="1" ht="17.25" customHeight="1">
      <c r="A188" s="23" t="s">
        <v>1442</v>
      </c>
    </row>
    <row r="189" spans="1:43" ht="17.25" customHeight="1">
      <c r="G189" s="41"/>
      <c r="H189" s="41"/>
      <c r="I189" s="41"/>
    </row>
    <row r="190" spans="1:43" ht="14.25" customHeight="1">
      <c r="D190" s="1316"/>
      <c r="E190" s="1187"/>
      <c r="F190" s="1187"/>
      <c r="G190" s="1195"/>
      <c r="H190" s="912"/>
      <c r="I190" s="1317">
        <v>1</v>
      </c>
      <c r="J190" s="1289"/>
      <c r="K190" s="158"/>
      <c r="L190" s="1195" t="s">
        <v>67</v>
      </c>
      <c r="M190" s="1195" t="s">
        <v>67</v>
      </c>
      <c r="N190" s="912"/>
      <c r="O190" s="1134" t="s">
        <v>109</v>
      </c>
      <c r="P190" s="1310"/>
      <c r="Q190" s="158"/>
      <c r="R190" s="1195" t="s">
        <v>67</v>
      </c>
      <c r="S190" s="1195" t="s">
        <v>67</v>
      </c>
      <c r="T190" s="913"/>
      <c r="U190" s="1134" t="s">
        <v>109</v>
      </c>
      <c r="V190" s="1312" t="str">
        <f>IF(AK190="","",INDEX(TERRITORY_MR_LIST,MATCH(AK190,TERRITORY_LIST_ID,0)))</f>
        <v/>
      </c>
      <c r="W190" s="376"/>
      <c r="X190" s="1195" t="s">
        <v>67</v>
      </c>
      <c r="Y190" s="1195" t="s">
        <v>57</v>
      </c>
      <c r="Z190" s="912"/>
      <c r="AA190" s="1134" t="s">
        <v>109</v>
      </c>
      <c r="AB190" s="1314"/>
      <c r="AC190" s="923"/>
      <c r="AD190" s="1195" t="s">
        <v>67</v>
      </c>
      <c r="AE190" s="1195" t="s">
        <v>57</v>
      </c>
      <c r="AF190" s="376"/>
      <c r="AG190" s="52" t="s">
        <v>109</v>
      </c>
      <c r="AH190" s="919"/>
      <c r="AI190" s="46"/>
    </row>
    <row r="191" spans="1:43" ht="14.25" customHeight="1">
      <c r="D191" s="1316"/>
      <c r="E191" s="1187"/>
      <c r="F191" s="1187"/>
      <c r="G191" s="1196"/>
      <c r="H191" s="912"/>
      <c r="I191" s="1317"/>
      <c r="J191" s="1289"/>
      <c r="K191" s="911"/>
      <c r="L191" s="1196"/>
      <c r="M191" s="1196"/>
      <c r="N191" s="912"/>
      <c r="O191" s="1134"/>
      <c r="P191" s="1310"/>
      <c r="Q191" s="909"/>
      <c r="R191" s="1196"/>
      <c r="S191" s="1196"/>
      <c r="T191" s="913"/>
      <c r="U191" s="1134"/>
      <c r="V191" s="1313"/>
      <c r="W191" s="910"/>
      <c r="X191" s="1196"/>
      <c r="Y191" s="1196"/>
      <c r="Z191" s="912"/>
      <c r="AA191" s="1134"/>
      <c r="AB191" s="1315"/>
      <c r="AC191" s="239"/>
      <c r="AD191" s="1138"/>
      <c r="AE191" s="1138"/>
      <c r="AF191" s="914"/>
      <c r="AG191" s="198"/>
      <c r="AH191" s="1319" t="s">
        <v>1443</v>
      </c>
      <c r="AI191" s="1320"/>
    </row>
    <row r="192" spans="1:43" ht="14.25" customHeight="1">
      <c r="D192" s="1316"/>
      <c r="E192" s="1187"/>
      <c r="F192" s="1187"/>
      <c r="G192" s="1196"/>
      <c r="H192" s="912"/>
      <c r="I192" s="1317"/>
      <c r="J192" s="1289"/>
      <c r="K192" s="911"/>
      <c r="L192" s="1196"/>
      <c r="M192" s="1196"/>
      <c r="N192" s="912"/>
      <c r="O192" s="1134"/>
      <c r="P192" s="1310"/>
      <c r="Q192" s="909"/>
      <c r="R192" s="1196"/>
      <c r="S192" s="1196"/>
      <c r="T192" s="913"/>
      <c r="U192" s="1134"/>
      <c r="V192" s="1313"/>
      <c r="W192" s="910"/>
      <c r="X192" s="1196"/>
      <c r="Y192" s="1196"/>
      <c r="Z192" s="910"/>
      <c r="AA192" s="916"/>
      <c r="AB192" s="1321" t="s">
        <v>1444</v>
      </c>
      <c r="AC192" s="1321"/>
      <c r="AD192" s="1321"/>
      <c r="AE192" s="1321"/>
      <c r="AF192" s="1321"/>
      <c r="AG192" s="1321"/>
      <c r="AH192" s="1321"/>
      <c r="AI192" s="1322"/>
    </row>
    <row r="193" spans="4:63" ht="14.25" customHeight="1">
      <c r="D193" s="1316"/>
      <c r="E193" s="1187"/>
      <c r="F193" s="1187"/>
      <c r="G193" s="1196"/>
      <c r="H193" s="912"/>
      <c r="I193" s="1317"/>
      <c r="J193" s="1289"/>
      <c r="K193" s="911"/>
      <c r="L193" s="1196"/>
      <c r="M193" s="1196"/>
      <c r="N193" s="912"/>
      <c r="O193" s="1134"/>
      <c r="P193" s="1323"/>
      <c r="Q193" s="909"/>
      <c r="R193" s="1196"/>
      <c r="S193" s="1196"/>
      <c r="T193" s="934"/>
      <c r="U193" s="935"/>
      <c r="V193" s="1319" t="s">
        <v>103</v>
      </c>
      <c r="W193" s="1319"/>
      <c r="X193" s="1319"/>
      <c r="Y193" s="1319"/>
      <c r="Z193" s="1319"/>
      <c r="AA193" s="1319"/>
      <c r="AB193" s="1319"/>
      <c r="AC193" s="1319"/>
      <c r="AD193" s="1319"/>
      <c r="AE193" s="1319"/>
      <c r="AF193" s="1319"/>
      <c r="AG193" s="1319"/>
      <c r="AH193" s="1319"/>
      <c r="AI193" s="1320"/>
    </row>
    <row r="194" spans="4:63" ht="11.25" customHeight="1">
      <c r="D194" s="1316"/>
      <c r="E194" s="1187"/>
      <c r="F194" s="1187"/>
      <c r="G194" s="1196"/>
      <c r="H194" s="915"/>
      <c r="I194" s="1317"/>
      <c r="J194" s="1318"/>
      <c r="K194" s="911"/>
      <c r="L194" s="1196"/>
      <c r="M194" s="1196"/>
      <c r="N194" s="915"/>
      <c r="O194" s="916"/>
      <c r="P194" s="1319" t="s">
        <v>1445</v>
      </c>
      <c r="Q194" s="1319"/>
      <c r="R194" s="1319"/>
      <c r="S194" s="1319"/>
      <c r="T194" s="1319"/>
      <c r="U194" s="1319"/>
      <c r="V194" s="1319"/>
      <c r="W194" s="1319"/>
      <c r="X194" s="1319"/>
      <c r="Y194" s="1319"/>
      <c r="Z194" s="1319"/>
      <c r="AA194" s="1319"/>
      <c r="AB194" s="1319"/>
      <c r="AC194" s="1319"/>
      <c r="AD194" s="1319"/>
      <c r="AE194" s="1319"/>
      <c r="AF194" s="1319"/>
      <c r="AG194" s="1319"/>
      <c r="AH194" s="1319"/>
      <c r="AI194" s="1320"/>
    </row>
    <row r="195" spans="4:63" s="905" customFormat="1" ht="11.25" customHeight="1">
      <c r="D195" s="1316"/>
      <c r="E195" s="1187"/>
      <c r="F195" s="1187"/>
      <c r="G195" s="1138"/>
      <c r="H195" s="917"/>
      <c r="I195" s="918"/>
      <c r="J195" s="1319" t="s">
        <v>1440</v>
      </c>
      <c r="K195" s="1319"/>
      <c r="L195" s="1319"/>
      <c r="M195" s="1319"/>
      <c r="N195" s="1319"/>
      <c r="O195" s="1319"/>
      <c r="P195" s="1319"/>
      <c r="Q195" s="1319"/>
      <c r="R195" s="1319"/>
      <c r="S195" s="1319"/>
      <c r="T195" s="1319"/>
      <c r="U195" s="1319"/>
      <c r="V195" s="1319"/>
      <c r="W195" s="1319"/>
      <c r="X195" s="1319"/>
      <c r="Y195" s="1319"/>
      <c r="Z195" s="1319"/>
      <c r="AA195" s="1319"/>
      <c r="AB195" s="1319"/>
      <c r="AC195" s="1319"/>
      <c r="AD195" s="1319"/>
      <c r="AE195" s="1319"/>
      <c r="AF195" s="1319"/>
      <c r="AG195" s="1319"/>
      <c r="AH195" s="1319"/>
      <c r="AI195" s="1320"/>
      <c r="BK195"/>
    </row>
    <row r="196" spans="4:63" ht="17.25" customHeight="1">
      <c r="G196" s="41"/>
      <c r="I196" s="41"/>
      <c r="J196" s="41"/>
    </row>
    <row r="197" spans="4:63" ht="14.25" customHeight="1">
      <c r="D197" s="1316"/>
      <c r="E197" s="1187"/>
      <c r="F197" s="1187"/>
      <c r="G197" s="1192"/>
      <c r="H197" s="930"/>
      <c r="I197" s="1197"/>
      <c r="J197" s="1156"/>
      <c r="K197" s="871"/>
      <c r="L197" s="1141"/>
      <c r="M197" s="1141"/>
      <c r="N197" s="924"/>
      <c r="O197" s="1141"/>
      <c r="P197" s="1156"/>
      <c r="Q197" s="871"/>
      <c r="R197" s="1141"/>
      <c r="S197" s="1141"/>
      <c r="T197" s="925"/>
      <c r="U197" s="1141"/>
      <c r="V197" s="1156"/>
      <c r="W197" s="800"/>
      <c r="X197" s="1141"/>
      <c r="Y197" s="1141"/>
      <c r="Z197" s="924"/>
      <c r="AA197" s="1141"/>
      <c r="AB197" s="1156"/>
      <c r="AC197" s="926"/>
      <c r="AD197" s="1141"/>
      <c r="AE197" s="1141"/>
      <c r="AF197" s="800"/>
      <c r="AG197" s="800"/>
      <c r="AH197" s="924"/>
      <c r="AI197" s="802"/>
    </row>
    <row r="198" spans="4:63" ht="14.25" customHeight="1">
      <c r="D198" s="1316"/>
      <c r="E198" s="1187"/>
      <c r="F198" s="1187"/>
      <c r="G198" s="1192"/>
      <c r="H198" s="931"/>
      <c r="I198" s="1198"/>
      <c r="J198" s="1157"/>
      <c r="K198" s="368"/>
      <c r="L198" s="1142"/>
      <c r="M198" s="1142"/>
      <c r="N198" s="42"/>
      <c r="O198" s="1142"/>
      <c r="P198" s="1157"/>
      <c r="Q198" s="409"/>
      <c r="R198" s="1142"/>
      <c r="S198" s="1142"/>
      <c r="T198" s="927"/>
      <c r="U198" s="1142"/>
      <c r="V198" s="1157"/>
      <c r="W198" s="214"/>
      <c r="X198" s="1142"/>
      <c r="Y198" s="1142"/>
      <c r="Z198" s="42"/>
      <c r="AA198" s="1142"/>
      <c r="AB198" s="1157"/>
      <c r="AC198" s="368"/>
      <c r="AD198" s="1142"/>
      <c r="AE198" s="1142"/>
      <c r="AF198" s="803"/>
      <c r="AG198" s="803"/>
      <c r="AH198" s="1201"/>
      <c r="AI198" s="1202"/>
    </row>
    <row r="199" spans="4:63" ht="14.25" customHeight="1">
      <c r="D199" s="1316"/>
      <c r="E199" s="1187"/>
      <c r="F199" s="1187"/>
      <c r="G199" s="1192"/>
      <c r="H199" s="931"/>
      <c r="I199" s="1198"/>
      <c r="J199" s="1157"/>
      <c r="K199" s="368"/>
      <c r="L199" s="1142"/>
      <c r="M199" s="1142"/>
      <c r="N199" s="42"/>
      <c r="O199" s="1142"/>
      <c r="P199" s="1157"/>
      <c r="Q199" s="409"/>
      <c r="R199" s="1142"/>
      <c r="S199" s="1142"/>
      <c r="T199" s="927"/>
      <c r="U199" s="1142"/>
      <c r="V199" s="1157"/>
      <c r="W199" s="214"/>
      <c r="X199" s="1142"/>
      <c r="Y199" s="1142"/>
      <c r="Z199" s="214"/>
      <c r="AA199" s="803"/>
      <c r="AB199" s="1201"/>
      <c r="AC199" s="1201"/>
      <c r="AD199" s="1201"/>
      <c r="AE199" s="1201"/>
      <c r="AF199" s="1201"/>
      <c r="AG199" s="1201"/>
      <c r="AH199" s="1201"/>
      <c r="AI199" s="1202"/>
    </row>
    <row r="200" spans="4:63" ht="14.25" customHeight="1">
      <c r="D200" s="1316"/>
      <c r="E200" s="1187"/>
      <c r="F200" s="1187"/>
      <c r="G200" s="1192"/>
      <c r="H200" s="931"/>
      <c r="I200" s="1198"/>
      <c r="J200" s="1157"/>
      <c r="K200" s="368"/>
      <c r="L200" s="1142"/>
      <c r="M200" s="1142"/>
      <c r="N200" s="42"/>
      <c r="O200" s="1142"/>
      <c r="P200" s="1157"/>
      <c r="Q200" s="409"/>
      <c r="R200" s="1142"/>
      <c r="S200" s="1142"/>
      <c r="T200" s="60"/>
      <c r="U200" s="928"/>
      <c r="V200" s="1201"/>
      <c r="W200" s="1201"/>
      <c r="X200" s="1201"/>
      <c r="Y200" s="1201"/>
      <c r="Z200" s="1201"/>
      <c r="AA200" s="1201"/>
      <c r="AB200" s="1201"/>
      <c r="AC200" s="1201"/>
      <c r="AD200" s="1201"/>
      <c r="AE200" s="1201"/>
      <c r="AF200" s="1201"/>
      <c r="AG200" s="1201"/>
      <c r="AH200" s="1201"/>
      <c r="AI200" s="1202"/>
    </row>
    <row r="201" spans="4:63" ht="11.25" customHeight="1">
      <c r="D201" s="1316"/>
      <c r="E201" s="1187"/>
      <c r="F201" s="1187"/>
      <c r="G201" s="1192"/>
      <c r="H201" s="932"/>
      <c r="I201" s="1198"/>
      <c r="J201" s="1157"/>
      <c r="K201" s="368"/>
      <c r="L201" s="1142"/>
      <c r="M201" s="1142"/>
      <c r="N201" s="803"/>
      <c r="O201" s="803"/>
      <c r="P201" s="1201"/>
      <c r="Q201" s="1201"/>
      <c r="R201" s="1201"/>
      <c r="S201" s="1201"/>
      <c r="T201" s="1201"/>
      <c r="U201" s="1201"/>
      <c r="V201" s="1201"/>
      <c r="W201" s="1201"/>
      <c r="X201" s="1201"/>
      <c r="Y201" s="1201"/>
      <c r="Z201" s="1201"/>
      <c r="AA201" s="1201"/>
      <c r="AB201" s="1201"/>
      <c r="AC201" s="1201"/>
      <c r="AD201" s="1201"/>
      <c r="AE201" s="1201"/>
      <c r="AF201" s="1201"/>
      <c r="AG201" s="1201"/>
      <c r="AH201" s="1201"/>
      <c r="AI201" s="1202"/>
    </row>
    <row r="202" spans="4:63" s="905" customFormat="1" ht="11.25" customHeight="1">
      <c r="D202" s="1316"/>
      <c r="E202" s="1187"/>
      <c r="F202" s="1187"/>
      <c r="G202" s="1203"/>
      <c r="H202" s="929"/>
      <c r="I202" s="933"/>
      <c r="J202" s="1199"/>
      <c r="K202" s="1199"/>
      <c r="L202" s="1199"/>
      <c r="M202" s="1199"/>
      <c r="N202" s="1199"/>
      <c r="O202" s="1199"/>
      <c r="P202" s="1199"/>
      <c r="Q202" s="1199"/>
      <c r="R202" s="1199"/>
      <c r="S202" s="1199"/>
      <c r="T202" s="1199"/>
      <c r="U202" s="1199"/>
      <c r="V202" s="1199"/>
      <c r="W202" s="1199"/>
      <c r="X202" s="1199"/>
      <c r="Y202" s="1199"/>
      <c r="Z202" s="1199"/>
      <c r="AA202" s="1199"/>
      <c r="AB202" s="1199"/>
      <c r="AC202" s="1199"/>
      <c r="AD202" s="1199"/>
      <c r="AE202" s="1199"/>
      <c r="AF202" s="1199"/>
      <c r="AG202" s="1199"/>
      <c r="AH202" s="1199"/>
      <c r="AI202" s="1200"/>
      <c r="BK202"/>
    </row>
    <row r="203" spans="4:63" ht="17.25" customHeight="1"/>
  </sheetData>
  <sheetProtection formatColumns="0" formatRows="0" insertRows="0" deleteColumns="0" deleteRows="0" sort="0" autoFilter="0"/>
  <mergeCells count="285">
    <mergeCell ref="P179:P180"/>
    <mergeCell ref="Q179:Q180"/>
    <mergeCell ref="R179:R180"/>
    <mergeCell ref="S179:S180"/>
    <mergeCell ref="W179:W180"/>
    <mergeCell ref="W170:W171"/>
    <mergeCell ref="L175:L177"/>
    <mergeCell ref="M175:M177"/>
    <mergeCell ref="N175:N177"/>
    <mergeCell ref="O175:O177"/>
    <mergeCell ref="P175:P176"/>
    <mergeCell ref="Q175:Q176"/>
    <mergeCell ref="R175:R176"/>
    <mergeCell ref="S175:S176"/>
    <mergeCell ref="W175:W176"/>
    <mergeCell ref="P157:P158"/>
    <mergeCell ref="Q157:Q158"/>
    <mergeCell ref="R157:R158"/>
    <mergeCell ref="S157:S158"/>
    <mergeCell ref="H170:H173"/>
    <mergeCell ref="I170:I173"/>
    <mergeCell ref="J170:J173"/>
    <mergeCell ref="K170:K173"/>
    <mergeCell ref="L170:L172"/>
    <mergeCell ref="M170:M172"/>
    <mergeCell ref="N170:N172"/>
    <mergeCell ref="O170:O172"/>
    <mergeCell ref="P170:P171"/>
    <mergeCell ref="Q170:Q171"/>
    <mergeCell ref="R170:R171"/>
    <mergeCell ref="S170:S171"/>
    <mergeCell ref="S164:S165"/>
    <mergeCell ref="O148:O150"/>
    <mergeCell ref="P148:P149"/>
    <mergeCell ref="Q148:Q149"/>
    <mergeCell ref="R148:R149"/>
    <mergeCell ref="S148:S149"/>
    <mergeCell ref="L153:L155"/>
    <mergeCell ref="M153:M155"/>
    <mergeCell ref="N153:N155"/>
    <mergeCell ref="O153:O155"/>
    <mergeCell ref="P153:P154"/>
    <mergeCell ref="Q153:Q154"/>
    <mergeCell ref="R153:R154"/>
    <mergeCell ref="S153:S154"/>
    <mergeCell ref="AF89:AF93"/>
    <mergeCell ref="AG89:AG93"/>
    <mergeCell ref="AH89:AH93"/>
    <mergeCell ref="AI89:AI93"/>
    <mergeCell ref="AJ89:AJ93"/>
    <mergeCell ref="AK89:AK93"/>
    <mergeCell ref="N90:N92"/>
    <mergeCell ref="O90:O92"/>
    <mergeCell ref="P90:P92"/>
    <mergeCell ref="Q90:Q92"/>
    <mergeCell ref="R90:R92"/>
    <mergeCell ref="S90:S92"/>
    <mergeCell ref="T90:T92"/>
    <mergeCell ref="U90:U92"/>
    <mergeCell ref="V90:V92"/>
    <mergeCell ref="W90:W92"/>
    <mergeCell ref="X90:X92"/>
    <mergeCell ref="Y90:Y92"/>
    <mergeCell ref="S79:S81"/>
    <mergeCell ref="T79:T81"/>
    <mergeCell ref="U79:U81"/>
    <mergeCell ref="V79:V81"/>
    <mergeCell ref="W79:W81"/>
    <mergeCell ref="X79:X81"/>
    <mergeCell ref="Y79:Y81"/>
    <mergeCell ref="H89:H93"/>
    <mergeCell ref="I89:I93"/>
    <mergeCell ref="J89:J93"/>
    <mergeCell ref="K89:K93"/>
    <mergeCell ref="L89:L93"/>
    <mergeCell ref="M89:M93"/>
    <mergeCell ref="AB197:AB198"/>
    <mergeCell ref="AD197:AD198"/>
    <mergeCell ref="AE197:AE198"/>
    <mergeCell ref="AH198:AI198"/>
    <mergeCell ref="AB199:AI199"/>
    <mergeCell ref="V200:AI200"/>
    <mergeCell ref="P201:AI201"/>
    <mergeCell ref="J202:AI202"/>
    <mergeCell ref="AD190:AD191"/>
    <mergeCell ref="AE190:AE191"/>
    <mergeCell ref="AH191:AI191"/>
    <mergeCell ref="AB192:AI192"/>
    <mergeCell ref="V193:AI193"/>
    <mergeCell ref="P194:AI194"/>
    <mergeCell ref="J195:AI195"/>
    <mergeCell ref="P197:P200"/>
    <mergeCell ref="R197:R200"/>
    <mergeCell ref="S197:S200"/>
    <mergeCell ref="U197:U199"/>
    <mergeCell ref="V197:V199"/>
    <mergeCell ref="X197:X199"/>
    <mergeCell ref="Y197:Y199"/>
    <mergeCell ref="AA197:AA198"/>
    <mergeCell ref="P190:P193"/>
    <mergeCell ref="D197:D202"/>
    <mergeCell ref="E197:E202"/>
    <mergeCell ref="F197:F202"/>
    <mergeCell ref="G197:G202"/>
    <mergeCell ref="I197:I201"/>
    <mergeCell ref="J197:J201"/>
    <mergeCell ref="L197:L201"/>
    <mergeCell ref="M197:M201"/>
    <mergeCell ref="O197:O200"/>
    <mergeCell ref="R190:R193"/>
    <mergeCell ref="S190:S193"/>
    <mergeCell ref="U190:U192"/>
    <mergeCell ref="V190:V192"/>
    <mergeCell ref="X190:X192"/>
    <mergeCell ref="Y190:Y192"/>
    <mergeCell ref="AA190:AA191"/>
    <mergeCell ref="AB190:AB191"/>
    <mergeCell ref="D190:D195"/>
    <mergeCell ref="E190:E195"/>
    <mergeCell ref="F190:F195"/>
    <mergeCell ref="G190:G195"/>
    <mergeCell ref="I190:I194"/>
    <mergeCell ref="J190:J194"/>
    <mergeCell ref="L190:L194"/>
    <mergeCell ref="M190:M194"/>
    <mergeCell ref="O190:O193"/>
    <mergeCell ref="W164:W165"/>
    <mergeCell ref="D164:D168"/>
    <mergeCell ref="E164:E168"/>
    <mergeCell ref="F164:F168"/>
    <mergeCell ref="G164:G168"/>
    <mergeCell ref="H164:H167"/>
    <mergeCell ref="I164:I167"/>
    <mergeCell ref="J164:J167"/>
    <mergeCell ref="K164:K167"/>
    <mergeCell ref="L164:L166"/>
    <mergeCell ref="AJ70:AJ74"/>
    <mergeCell ref="AK70:AK74"/>
    <mergeCell ref="I75:K75"/>
    <mergeCell ref="F70:F75"/>
    <mergeCell ref="AF70:AF74"/>
    <mergeCell ref="AG70:AG74"/>
    <mergeCell ref="AH70:AH74"/>
    <mergeCell ref="AI70:AI74"/>
    <mergeCell ref="S71:S73"/>
    <mergeCell ref="T71:T73"/>
    <mergeCell ref="U71:U73"/>
    <mergeCell ref="V71:V73"/>
    <mergeCell ref="W71:W73"/>
    <mergeCell ref="X71:X73"/>
    <mergeCell ref="Y71:Y73"/>
    <mergeCell ref="H70:H74"/>
    <mergeCell ref="I70:I74"/>
    <mergeCell ref="J70:J74"/>
    <mergeCell ref="K70:K74"/>
    <mergeCell ref="L70:L74"/>
    <mergeCell ref="M70:M74"/>
    <mergeCell ref="N71:N73"/>
    <mergeCell ref="O71:O73"/>
    <mergeCell ref="Y60:Y61"/>
    <mergeCell ref="S60:S61"/>
    <mergeCell ref="T60:T61"/>
    <mergeCell ref="M60:M61"/>
    <mergeCell ref="N60:N61"/>
    <mergeCell ref="O60:O61"/>
    <mergeCell ref="Q60:Q61"/>
    <mergeCell ref="R60:R61"/>
    <mergeCell ref="W60:W61"/>
    <mergeCell ref="X60:X61"/>
    <mergeCell ref="P60:P61"/>
    <mergeCell ref="Q182:Q183"/>
    <mergeCell ref="R182:R183"/>
    <mergeCell ref="S182:S183"/>
    <mergeCell ref="P182:P183"/>
    <mergeCell ref="I182:I185"/>
    <mergeCell ref="F182:F186"/>
    <mergeCell ref="A13:A15"/>
    <mergeCell ref="D19:D21"/>
    <mergeCell ref="E19:E21"/>
    <mergeCell ref="F19:F21"/>
    <mergeCell ref="G19:G20"/>
    <mergeCell ref="H19:H20"/>
    <mergeCell ref="I19:I20"/>
    <mergeCell ref="J19:J20"/>
    <mergeCell ref="G25:G26"/>
    <mergeCell ref="H25:H26"/>
    <mergeCell ref="I25:I26"/>
    <mergeCell ref="J25:J26"/>
    <mergeCell ref="M164:M166"/>
    <mergeCell ref="N164:N166"/>
    <mergeCell ref="O164:O166"/>
    <mergeCell ref="P164:P165"/>
    <mergeCell ref="Q164:Q165"/>
    <mergeCell ref="R164:R165"/>
    <mergeCell ref="D182:D186"/>
    <mergeCell ref="I142:I145"/>
    <mergeCell ref="H182:H185"/>
    <mergeCell ref="J182:J185"/>
    <mergeCell ref="K182:K185"/>
    <mergeCell ref="M182:M184"/>
    <mergeCell ref="O182:O184"/>
    <mergeCell ref="L182:L184"/>
    <mergeCell ref="L142:L144"/>
    <mergeCell ref="N182:N184"/>
    <mergeCell ref="E142:E146"/>
    <mergeCell ref="N142:N144"/>
    <mergeCell ref="J142:J145"/>
    <mergeCell ref="F142:F146"/>
    <mergeCell ref="E182:E186"/>
    <mergeCell ref="H142:H145"/>
    <mergeCell ref="G182:G186"/>
    <mergeCell ref="H148:H151"/>
    <mergeCell ref="I148:I151"/>
    <mergeCell ref="J148:J151"/>
    <mergeCell ref="K148:K151"/>
    <mergeCell ref="L148:L150"/>
    <mergeCell ref="M148:M150"/>
    <mergeCell ref="N148:N150"/>
    <mergeCell ref="AC103:AC108"/>
    <mergeCell ref="E104:G104"/>
    <mergeCell ref="H104:R104"/>
    <mergeCell ref="E105:G105"/>
    <mergeCell ref="E127:E130"/>
    <mergeCell ref="F127:F130"/>
    <mergeCell ref="G127:G130"/>
    <mergeCell ref="L127:M127"/>
    <mergeCell ref="S127:S130"/>
    <mergeCell ref="H128:H129"/>
    <mergeCell ref="I128:I129"/>
    <mergeCell ref="J128:J129"/>
    <mergeCell ref="K128:K129"/>
    <mergeCell ref="H105:R105"/>
    <mergeCell ref="E106:P106"/>
    <mergeCell ref="U106:U108"/>
    <mergeCell ref="V106:V108"/>
    <mergeCell ref="E109:P109"/>
    <mergeCell ref="AC115:AC120"/>
    <mergeCell ref="E116:G116"/>
    <mergeCell ref="H116:R116"/>
    <mergeCell ref="E117:G117"/>
    <mergeCell ref="H117:R117"/>
    <mergeCell ref="E118:P118"/>
    <mergeCell ref="D115:D123"/>
    <mergeCell ref="E115:G115"/>
    <mergeCell ref="H115:R115"/>
    <mergeCell ref="D103:D111"/>
    <mergeCell ref="E103:G103"/>
    <mergeCell ref="H103:R103"/>
    <mergeCell ref="M142:M144"/>
    <mergeCell ref="P71:P73"/>
    <mergeCell ref="Q71:Q73"/>
    <mergeCell ref="R71:R73"/>
    <mergeCell ref="N79:N81"/>
    <mergeCell ref="O79:O81"/>
    <mergeCell ref="P79:P81"/>
    <mergeCell ref="Q79:Q81"/>
    <mergeCell ref="R79:R81"/>
    <mergeCell ref="H135:H136"/>
    <mergeCell ref="I135:I136"/>
    <mergeCell ref="J135:J136"/>
    <mergeCell ref="K135:K136"/>
    <mergeCell ref="F60:F61"/>
    <mergeCell ref="G60:G61"/>
    <mergeCell ref="H60:H61"/>
    <mergeCell ref="I60:I61"/>
    <mergeCell ref="J60:J61"/>
    <mergeCell ref="K60:K61"/>
    <mergeCell ref="U109:U111"/>
    <mergeCell ref="V109:V111"/>
    <mergeCell ref="D142:D146"/>
    <mergeCell ref="L60:L61"/>
    <mergeCell ref="G70:G74"/>
    <mergeCell ref="U121:U123"/>
    <mergeCell ref="V121:V123"/>
    <mergeCell ref="O142:O144"/>
    <mergeCell ref="S142:S143"/>
    <mergeCell ref="U60:U61"/>
    <mergeCell ref="V60:V61"/>
    <mergeCell ref="U118:U120"/>
    <mergeCell ref="V118:V120"/>
    <mergeCell ref="P142:P143"/>
    <mergeCell ref="Q142:Q143"/>
    <mergeCell ref="R142:R143"/>
    <mergeCell ref="G142:G146"/>
    <mergeCell ref="K142:K145"/>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0 AC197" xr:uid="{00000000-0002-0000-0D00-000000000000}">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2:N144 N164:N166 N148:N150 N153:N155 N157:N158 N170:N172 N175:N177 N179:N180" xr:uid="{00000000-0002-0000-0D00-000001000000}"/>
    <dataValidation type="list" allowBlank="1" showInputMessage="1" showErrorMessage="1" errorTitle="Ошибка" error="Выберите значение из списка" prompt="Выберите значение из списка" sqref="H98" xr:uid="{00000000-0002-0000-0D00-000002000000}">
      <formula1>QRE_METHOD_LIST</formula1>
    </dataValidation>
    <dataValidation type="list" allowBlank="1" showInputMessage="1" showErrorMessage="1" errorTitle="Ошибка" error="Выберите значение из списка" prompt="Выберите значение из списка" sqref="J128:J129 J135:J136 J138" xr:uid="{00000000-0002-0000-0D00-000003000000}">
      <formula1>kind_of_purchase_method</formula1>
    </dataValidation>
    <dataValidation allowBlank="1" showInputMessage="1" showErrorMessage="1" promptTitle="Ввод" prompt="Для выбора ИП необходимо два раза нажать левую кнопку мыши!" sqref="G60 G65" xr:uid="{00000000-0002-0000-0D00-000004000000}"/>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48" xr:uid="{00000000-0002-0000-0D00-000005000000}"/>
    <dataValidation type="whole" allowBlank="1" showErrorMessage="1" errorTitle="Ошибка" error="Допускается ввод только неотрицательных целых чисел!" sqref="P48 N48 X48:Z48 R48:V48 AB48:AC48 H48:J48 AF70:AF74 AI70:AI74 AF79:AF81 AI79:AI81 AF89:AF93 AI89:AI93 AF85 AI85" xr:uid="{00000000-0002-0000-0D00-000006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48" xr:uid="{00000000-0002-0000-0D00-000007000000}">
      <formula1>kind_of_power_te_unit</formula1>
    </dataValidation>
    <dataValidation allowBlank="1" showInputMessage="1" showErrorMessage="1" prompt="Изменение значения по двойному щелчоку левой кнопки мыши" sqref="J44" xr:uid="{00000000-0002-0000-0D00-000008000000}"/>
    <dataValidation type="list" allowBlank="1" showInputMessage="1" showErrorMessage="1" sqref="I30" xr:uid="{00000000-0002-0000-0D00-000009000000}">
      <formula1>DESCRIPTION_TERRITORY</formula1>
    </dataValidation>
    <dataValidation type="textLength" operator="lessThan" allowBlank="1" showInputMessage="1" showErrorMessage="1" error="Допускается ввод не более 900 символов!" sqref="M25 M19" xr:uid="{00000000-0002-0000-0D00-00000A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5 I70:J73 K60 K65 I85:J85 I89:J92" xr:uid="{00000000-0002-0000-0D00-00000B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4 H52 F56" xr:uid="{00000000-0002-0000-0D00-00000C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2:N184" xr:uid="{00000000-0002-0000-0D00-00000D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53:G155 G160 G142:G146 G179:G180 G148:G151 G164:G168 G170:G173 G175:G177 G157:G158" xr:uid="{00000000-0002-0000-0D00-00000E000000}"/>
    <dataValidation type="decimal" allowBlank="1" showErrorMessage="1" errorTitle="Ошибка" error="Допускается ввод только неотрицательных чисел!" sqref="M48 K48 Q48 O48 Q128 O128 AC72 AE72 AC80 AE80 AE85 AE91 AC91 AC85 Q135 O135 O138 Q138" xr:uid="{00000000-0002-0000-0D00-00000F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2 T60 I60:J60 X60 T65 I65:J65 X65" xr:uid="{00000000-0002-0000-0D00-000010000000}"/>
    <dataValidation allowBlank="1" showInputMessage="1" showErrorMessage="1" prompt="Для выбора выполните двойной щелчок левой клавиши мыши по соответствующей ячейке." sqref="K182:K183 O182:O183 S142:S143 S182:S183 O142 K142 F153:F155 S164:S165 O164 K164 F160 K148 S148:S149 O148 F142:F146 K153 S153:S154 O153 O179 K157 S157:S158 O157 F148:F151 K170 S170:S171 O170 F164:F168 F170:F173 S175:S176 O175 F175:F177 F179:F180 S179:S180 F157:F158" xr:uid="{00000000-0002-0000-0D00-000011000000}"/>
    <dataValidation type="textLength" operator="lessThanOrEqual" allowBlank="1" showInputMessage="1" showErrorMessage="1" errorTitle="Ошибка" error="Допускается ввод не более 900 символов!" sqref="L60:M60 E8 J182:J183 R182:R183 U60:W60 V182:W182 AB60 G13 M30 E35 E39:F39 E48 E52:F52 E56 G56 Q60:S60 M70 K70:K73 V142:W142 J142:J143 R142:R143 V164:W164 J164:J165 R164:R165 AI190 J190:J194 P190:P193 AI197 J197:J201 P197:P200 E4 L65:M65 U65:W65 AB65 Q65:S65 V160:W160 J160 R160 K79:K81 M89 K89:K92 K85 V148:W148 J148:J149 R148:R149 V153:W153 J153:J154 R153:R154 V157:W157 J157:J158 R157:R158 V170:W170 J170:J171 R170:R171 V175:W175 J175:J176 R175:R176 V179:W179 J179:J180 R179:R180" xr:uid="{00000000-0002-0000-0D00-00001200000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0B490F-6BAF-0F44-8A11-1EFFB77F7B18}">
  <sheetPr>
    <tabColor theme="6" tint="0.39997558519241921"/>
    <pageSetUpPr fitToPage="1"/>
  </sheetPr>
  <dimension ref="A1:P29"/>
  <sheetViews>
    <sheetView showGridLines="0" topLeftCell="C4" zoomScale="90" workbookViewId="0"/>
  </sheetViews>
  <sheetFormatPr defaultColWidth="10.5703125" defaultRowHeight="14.25" customHeight="1"/>
  <cols>
    <col min="1" max="1" width="9.140625" style="42" hidden="1" customWidth="1"/>
    <col min="2" max="2" width="9.140625" style="72" hidden="1" customWidth="1"/>
    <col min="3" max="3" width="3.7109375" style="37" customWidth="1"/>
    <col min="4" max="4" width="6.28515625" style="24" customWidth="1"/>
    <col min="5" max="6" width="64.140625" style="24" customWidth="1"/>
    <col min="7" max="7" width="141.140625" style="24" customWidth="1"/>
    <col min="8" max="8" width="10.5703125" style="24"/>
    <col min="9" max="10" width="10.5703125" style="79"/>
    <col min="11" max="16" width="10.5703125" style="24"/>
  </cols>
  <sheetData>
    <row r="1" spans="1:16" ht="14.25" hidden="1" customHeight="1">
      <c r="M1" s="155"/>
      <c r="N1" s="155"/>
      <c r="P1" s="155"/>
    </row>
    <row r="2" spans="1:16" ht="14.25" hidden="1" customHeight="1"/>
    <row r="3" spans="1:16" ht="14.25" hidden="1" customHeight="1"/>
    <row r="4" spans="1:16" ht="3" customHeight="1">
      <c r="C4" s="36"/>
      <c r="D4" s="25"/>
      <c r="E4" s="25"/>
      <c r="F4" s="26"/>
      <c r="G4" s="26"/>
    </row>
    <row r="5" spans="1:16" ht="25.5" customHeight="1">
      <c r="C5" s="36"/>
      <c r="D5" s="1116" t="str">
        <f>TERMS_NAME_FORM</f>
        <v>Форма 17.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содержит сведения об условиях публичных договоров регулируемых организаций, а также сведения о договорах, заключенных в соответствии с частями 2.1 и 2.2 статьи 8 Федерального закона "О теплоснабжении",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 теплоснабжении", и (или) условиях договоров о подключении (технологическом присоединении) к системе теплоснабжения включает сведения об условиях публичных договоров, заключаемых единой теплоснабжающей организацией в ценовых зонах теплоснабжения</v>
      </c>
      <c r="E5" s="1117"/>
      <c r="F5" s="1117"/>
      <c r="G5" s="1118"/>
    </row>
    <row r="6" spans="1:16" s="24" customFormat="1" ht="18" customHeight="1">
      <c r="A6" s="42"/>
      <c r="B6" s="72"/>
      <c r="C6" s="36"/>
      <c r="D6" s="1228" t="str">
        <f>IF(org=0,"Не определено",org)</f>
        <v>ООО "ТЕПЛО ПЛЮС"</v>
      </c>
      <c r="E6" s="1229"/>
      <c r="F6" s="1229"/>
      <c r="G6" s="1230"/>
      <c r="I6" s="79"/>
      <c r="J6" s="79"/>
    </row>
    <row r="7" spans="1:16" ht="14.25" customHeight="1">
      <c r="C7" s="36"/>
      <c r="D7" s="25"/>
      <c r="E7" s="35"/>
      <c r="F7" s="463"/>
      <c r="G7" s="109"/>
    </row>
    <row r="8" spans="1:16" s="24" customFormat="1" ht="0.75" customHeight="1">
      <c r="A8" s="42"/>
      <c r="B8" s="72"/>
      <c r="C8" s="36"/>
      <c r="D8" s="25"/>
      <c r="E8" s="35"/>
      <c r="F8" s="463"/>
      <c r="G8" s="109"/>
      <c r="I8" s="79"/>
      <c r="J8" s="79"/>
    </row>
    <row r="9" spans="1:16" ht="14.25" customHeight="1">
      <c r="C9" s="36"/>
      <c r="D9" s="1213" t="s">
        <v>292</v>
      </c>
      <c r="E9" s="1213"/>
      <c r="F9" s="1213"/>
      <c r="G9" s="1325" t="s">
        <v>293</v>
      </c>
    </row>
    <row r="10" spans="1:16" ht="14.25" customHeight="1">
      <c r="C10" s="36"/>
      <c r="D10" s="45" t="s">
        <v>88</v>
      </c>
      <c r="E10" s="48" t="s">
        <v>294</v>
      </c>
      <c r="F10" s="48" t="s">
        <v>384</v>
      </c>
      <c r="G10" s="1325"/>
    </row>
    <row r="11" spans="1:16" ht="12" hidden="1" customHeight="1">
      <c r="C11" s="36"/>
      <c r="D11" s="28"/>
      <c r="E11" s="28"/>
      <c r="F11" s="28"/>
      <c r="G11" s="28"/>
    </row>
    <row r="12" spans="1:16" ht="62.25" customHeight="1">
      <c r="A12" s="43"/>
      <c r="C12" s="36"/>
      <c r="D12" s="73">
        <v>1</v>
      </c>
      <c r="E12" s="112"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48" t="s">
        <v>298</v>
      </c>
      <c r="G12" s="76"/>
    </row>
    <row r="13" spans="1:16" ht="22.5" customHeight="1">
      <c r="A13" s="43"/>
      <c r="C13" s="36"/>
      <c r="D13" s="73" t="s">
        <v>620</v>
      </c>
      <c r="E13" s="11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48" t="s">
        <v>298</v>
      </c>
      <c r="G13" s="76"/>
    </row>
    <row r="14" spans="1:16" ht="14.25" customHeight="1">
      <c r="A14" s="43"/>
      <c r="C14" s="36"/>
      <c r="D14" s="73" t="s">
        <v>1446</v>
      </c>
      <c r="E14" s="1052"/>
      <c r="F14" s="122"/>
      <c r="G14" s="1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r="15" spans="1:16" ht="15" customHeight="1">
      <c r="A15" s="43"/>
      <c r="C15" s="36"/>
      <c r="D15" s="49"/>
      <c r="E15" s="117" t="s">
        <v>1447</v>
      </c>
      <c r="F15" s="114"/>
      <c r="G15" s="1171"/>
    </row>
    <row r="16" spans="1:16" ht="14.25" customHeight="1">
      <c r="A16" s="43"/>
      <c r="C16" s="36"/>
      <c r="D16" s="73" t="s">
        <v>626</v>
      </c>
      <c r="E16" s="11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48" t="s">
        <v>298</v>
      </c>
      <c r="G16" s="180"/>
    </row>
    <row r="17" spans="1:16" ht="14.25" customHeight="1">
      <c r="A17" s="43"/>
      <c r="C17" s="36"/>
      <c r="D17" s="73" t="s">
        <v>1448</v>
      </c>
      <c r="E17" s="1052"/>
      <c r="F17" s="238"/>
      <c r="G17" s="1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v>
      </c>
    </row>
    <row r="18" spans="1:16" s="24" customFormat="1" ht="21" customHeight="1">
      <c r="A18" s="43"/>
      <c r="B18" s="72"/>
      <c r="C18" s="36"/>
      <c r="D18" s="49"/>
      <c r="E18" s="117" t="s">
        <v>1449</v>
      </c>
      <c r="F18" s="61"/>
      <c r="G18" s="1171"/>
      <c r="I18" s="79"/>
      <c r="J18" s="79"/>
    </row>
    <row r="19" spans="1:16" s="24" customFormat="1" ht="256.5" hidden="1" customHeight="1">
      <c r="A19" s="43"/>
      <c r="B19" s="72"/>
      <c r="C19" s="36"/>
      <c r="D19" s="73" t="s">
        <v>1450</v>
      </c>
      <c r="E19" s="110" t="s">
        <v>1451</v>
      </c>
      <c r="F19" s="238"/>
      <c r="G19" s="180" t="s">
        <v>1452</v>
      </c>
      <c r="I19" s="79"/>
      <c r="J19" s="79"/>
    </row>
    <row r="20" spans="1:16" s="24" customFormat="1" ht="14.25" customHeight="1">
      <c r="A20" s="43"/>
      <c r="B20" s="72"/>
      <c r="C20" s="36"/>
      <c r="D20" s="275">
        <v>2</v>
      </c>
      <c r="E20" s="110" t="s">
        <v>1453</v>
      </c>
      <c r="F20" s="48" t="s">
        <v>298</v>
      </c>
      <c r="G20" s="180"/>
      <c r="I20" s="79"/>
      <c r="J20" s="79"/>
    </row>
    <row r="21" spans="1:16" s="24" customFormat="1" ht="18.75" hidden="1" customHeight="1">
      <c r="A21" s="43"/>
      <c r="B21" s="72"/>
      <c r="C21" s="36"/>
      <c r="D21" s="207" t="s">
        <v>1454</v>
      </c>
      <c r="E21" s="1053"/>
      <c r="F21" s="206"/>
      <c r="G21" s="213"/>
      <c r="H21" s="208"/>
      <c r="I21" s="79"/>
      <c r="J21" s="79"/>
    </row>
    <row r="22" spans="1:16" ht="15" customHeight="1">
      <c r="A22" s="43"/>
      <c r="C22" s="36"/>
      <c r="D22" s="49"/>
      <c r="E22" s="116" t="s">
        <v>1455</v>
      </c>
      <c r="F22" s="61"/>
      <c r="G22" s="211"/>
    </row>
    <row r="23" spans="1:16" s="24" customFormat="1" ht="22.5" hidden="1" customHeight="1">
      <c r="A23" s="43"/>
      <c r="B23" s="72"/>
      <c r="C23" s="36"/>
      <c r="D23" s="73" t="s">
        <v>110</v>
      </c>
      <c r="E23" s="112" t="s">
        <v>1456</v>
      </c>
      <c r="F23" s="48" t="s">
        <v>298</v>
      </c>
      <c r="G23" s="76"/>
      <c r="I23" s="79"/>
      <c r="J23" s="79"/>
    </row>
    <row r="24" spans="1:16" s="24" customFormat="1" ht="14.25" hidden="1" customHeight="1">
      <c r="A24" s="43"/>
      <c r="B24" s="72"/>
      <c r="C24" s="36"/>
      <c r="D24" s="73" t="s">
        <v>505</v>
      </c>
      <c r="E24" s="110" t="s">
        <v>1457</v>
      </c>
      <c r="F24" s="48" t="s">
        <v>298</v>
      </c>
      <c r="G24" s="180"/>
      <c r="I24" s="79"/>
      <c r="J24" s="79"/>
    </row>
    <row r="25" spans="1:16" s="24" customFormat="1" ht="14.25" hidden="1" customHeight="1">
      <c r="A25" s="43"/>
      <c r="B25" s="72"/>
      <c r="C25" s="36"/>
      <c r="D25" s="73" t="s">
        <v>1458</v>
      </c>
      <c r="E25" s="1052"/>
      <c r="F25" s="238"/>
      <c r="G25" s="1169" t="s">
        <v>1459</v>
      </c>
      <c r="I25" s="79"/>
      <c r="J25" s="79"/>
    </row>
    <row r="26" spans="1:16" s="24" customFormat="1" ht="22.5" hidden="1" customHeight="1">
      <c r="A26" s="43"/>
      <c r="B26" s="72"/>
      <c r="C26" s="36"/>
      <c r="D26" s="49"/>
      <c r="E26" s="117" t="s">
        <v>1460</v>
      </c>
      <c r="F26" s="61"/>
      <c r="G26" s="1171"/>
      <c r="I26" s="79"/>
      <c r="J26" s="79"/>
    </row>
    <row r="27" spans="1:16" ht="3" customHeight="1"/>
    <row r="28" spans="1:16" ht="14.25" customHeight="1">
      <c r="D28" s="210"/>
      <c r="E28" s="209"/>
      <c r="F28" s="7"/>
      <c r="G28" s="7"/>
      <c r="H28" s="7"/>
      <c r="I28" s="7"/>
      <c r="J28" s="7"/>
      <c r="K28" s="7"/>
      <c r="L28" s="7"/>
      <c r="M28" s="7"/>
      <c r="N28" s="7"/>
      <c r="O28" s="7"/>
      <c r="P28" s="7"/>
    </row>
    <row r="29" spans="1:16" ht="14.25" customHeight="1">
      <c r="D29" s="210"/>
      <c r="E29" s="369"/>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xr:uid="{00000000-0002-0000-0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xr:uid="{00000000-0002-0000-0E00-000001000000}">
      <formula1>900</formula1>
    </dataValidation>
  </dataValidations>
  <printOptions horizontalCentered="1" verticalCentered="1"/>
  <pageMargins left="0" right="0" top="0" bottom="0" header="0" footer="0.79"/>
  <pageSetup paperSize="9" scale="38" fitToHeight="0" orientation="portrait" blackAndWhite="1"/>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11895C-E472-736B-572C-F9CBEBBEB145}">
  <sheetPr>
    <tabColor theme="6" tint="0.39997558519241921"/>
  </sheetPr>
  <dimension ref="A1:AR64"/>
  <sheetViews>
    <sheetView showGridLines="0" topLeftCell="P25" zoomScale="90" workbookViewId="0"/>
  </sheetViews>
  <sheetFormatPr defaultColWidth="10.5703125" defaultRowHeight="14.25" customHeight="1"/>
  <cols>
    <col min="1" max="1" width="10.5703125" style="72" hidden="1"/>
    <col min="2" max="2" width="11" style="72" hidden="1" customWidth="1"/>
    <col min="3" max="3" width="10.5703125" style="72" hidden="1"/>
    <col min="4" max="4" width="11.85546875" style="72" hidden="1" customWidth="1"/>
    <col min="5" max="5" width="10" style="72" hidden="1" customWidth="1"/>
    <col min="6" max="6" width="8.7109375" style="72" hidden="1" customWidth="1"/>
    <col min="7" max="7" width="7.5703125" style="72" hidden="1" customWidth="1"/>
    <col min="8" max="8" width="11.42578125" style="72" hidden="1" customWidth="1"/>
    <col min="9" max="9" width="12" style="72" hidden="1" customWidth="1"/>
    <col min="10" max="10" width="9.85546875" style="72" hidden="1" customWidth="1"/>
    <col min="11" max="11" width="11.42578125" style="72" hidden="1" customWidth="1"/>
    <col min="12" max="12" width="19.140625" style="388" hidden="1" customWidth="1"/>
    <col min="13" max="14" width="12.28515625" style="541" hidden="1" customWidth="1"/>
    <col min="15" max="15" width="23.42578125" style="541" hidden="1" customWidth="1"/>
    <col min="16" max="16" width="3.7109375" style="42" customWidth="1"/>
    <col min="17" max="18" width="3.7109375" style="37" customWidth="1"/>
    <col min="19" max="19" width="12.7109375" style="368" customWidth="1"/>
    <col min="20" max="20" width="35.7109375" style="24" customWidth="1"/>
    <col min="21" max="21" width="0.140625" style="24" customWidth="1"/>
    <col min="22" max="22" width="24.7109375" style="24" hidden="1" customWidth="1"/>
    <col min="23" max="23" width="0.140625" style="24" hidden="1" customWidth="1"/>
    <col min="24" max="25" width="24.7109375" style="24" hidden="1" customWidth="1"/>
    <col min="26" max="26" width="11.7109375" style="24" hidden="1" customWidth="1"/>
    <col min="27" max="27" width="3.7109375" style="24" hidden="1" customWidth="1"/>
    <col min="28" max="28" width="11.7109375" style="24" hidden="1" customWidth="1"/>
    <col min="29" max="29" width="8.5703125" style="24" hidden="1" customWidth="1"/>
    <col min="30" max="30" width="24.7109375" style="24" customWidth="1"/>
    <col min="31" max="31" width="0.140625" style="24" customWidth="1"/>
    <col min="32" max="33" width="24.7109375" style="24" customWidth="1"/>
    <col min="34" max="34" width="11.7109375" style="24" customWidth="1"/>
    <col min="35" max="35" width="3.7109375" style="24" customWidth="1"/>
    <col min="36" max="36" width="11.7109375" style="24" customWidth="1"/>
    <col min="37" max="37" width="8.5703125" style="24" hidden="1" customWidth="1"/>
    <col min="38" max="38" width="4.7109375" style="24" customWidth="1"/>
    <col min="39" max="39" width="115.7109375" style="24" customWidth="1"/>
    <col min="40" max="41" width="10.5703125" style="77"/>
    <col min="42" max="42" width="11.140625" style="77" customWidth="1"/>
    <col min="43" max="44" width="10.5703125" style="77"/>
  </cols>
  <sheetData>
    <row r="1" spans="1:44" ht="14.25" hidden="1" customHeight="1"/>
    <row r="2" spans="1:44" ht="21" hidden="1" customHeight="1">
      <c r="A2" s="822"/>
      <c r="B2" s="822"/>
      <c r="C2" s="822"/>
      <c r="D2" s="822"/>
      <c r="E2" s="1337">
        <v>1</v>
      </c>
      <c r="F2" s="822"/>
      <c r="G2" s="822"/>
      <c r="H2" s="822"/>
      <c r="I2" s="822"/>
      <c r="J2" s="822"/>
      <c r="K2" s="822"/>
      <c r="L2" s="823"/>
      <c r="M2" s="452"/>
      <c r="N2" s="452"/>
      <c r="O2" s="452"/>
      <c r="Q2" s="43"/>
      <c r="R2" s="220"/>
      <c r="S2" s="755" t="e">
        <f>INDEX(PT_DIFFERENTIATION_NUM_NTAR,MATCH(A2,PT_DIFFERENTIATION_NTAR_ID,0))</f>
        <v>#N/A</v>
      </c>
      <c r="T2" s="76" t="s">
        <v>124</v>
      </c>
      <c r="U2" s="179"/>
      <c r="V2" s="1331"/>
      <c r="W2" s="1332"/>
      <c r="X2" s="1332"/>
      <c r="Y2" s="1332"/>
      <c r="Z2" s="1332"/>
      <c r="AA2" s="1332"/>
      <c r="AB2" s="1332"/>
      <c r="AC2" s="1333"/>
      <c r="AD2" s="1331" t="e">
        <f>INDEX(PT_DIFFERENTIATION_NTAR,MATCH(A2,PT_DIFFERENTIATION_NTAR_ID,0))</f>
        <v>#N/A</v>
      </c>
      <c r="AE2" s="1332"/>
      <c r="AF2" s="1332"/>
      <c r="AG2" s="1332"/>
      <c r="AH2" s="1332"/>
      <c r="AI2" s="1332"/>
      <c r="AJ2" s="1332"/>
      <c r="AK2" s="1332"/>
      <c r="AL2" s="1333"/>
      <c r="AM2" s="782" t="s">
        <v>1461</v>
      </c>
      <c r="AO2" s="79"/>
      <c r="AP2" s="79" t="str">
        <f t="shared" ref="AP2:AP15" si="0">IF(T2="","",T2)</f>
        <v>Наименование тарифа</v>
      </c>
      <c r="AQ2" s="79"/>
      <c r="AR2" s="79"/>
    </row>
    <row r="3" spans="1:44" ht="21" hidden="1" customHeight="1">
      <c r="A3" s="822"/>
      <c r="B3" s="822"/>
      <c r="C3" s="822"/>
      <c r="D3" s="822"/>
      <c r="E3" s="1338"/>
      <c r="F3" s="1337">
        <v>1</v>
      </c>
      <c r="G3" s="822"/>
      <c r="H3" s="822"/>
      <c r="I3" s="822"/>
      <c r="J3" s="822"/>
      <c r="K3" s="822"/>
      <c r="L3" s="823"/>
      <c r="M3" s="452"/>
      <c r="N3" s="452"/>
      <c r="O3" s="452"/>
      <c r="P3" s="68"/>
      <c r="Q3" s="217"/>
      <c r="R3" s="218"/>
      <c r="S3" s="755" t="e">
        <f>INDEX(PT_DIFFERENTIATION_NUM_TER,MATCH(B3,PT_DIFFERENTIATION_TER_ID,0))</f>
        <v>#N/A</v>
      </c>
      <c r="T3" s="187" t="s">
        <v>1462</v>
      </c>
      <c r="U3" s="179"/>
      <c r="V3" s="1331"/>
      <c r="W3" s="1332"/>
      <c r="X3" s="1332"/>
      <c r="Y3" s="1332"/>
      <c r="Z3" s="1332"/>
      <c r="AA3" s="1332"/>
      <c r="AB3" s="1332"/>
      <c r="AC3" s="1333"/>
      <c r="AD3" s="1331" t="e">
        <f>INDEX(PT_DIFFERENTIATION_TER,MATCH(B3,PT_DIFFERENTIATION_TER_ID,0))</f>
        <v>#N/A</v>
      </c>
      <c r="AE3" s="1332"/>
      <c r="AF3" s="1332"/>
      <c r="AG3" s="1332"/>
      <c r="AH3" s="1332"/>
      <c r="AI3" s="1332"/>
      <c r="AJ3" s="1332"/>
      <c r="AK3" s="1332"/>
      <c r="AL3" s="1333"/>
      <c r="AM3" s="782" t="s">
        <v>1463</v>
      </c>
      <c r="AO3" s="79"/>
      <c r="AP3" s="79" t="str">
        <f t="shared" si="0"/>
        <v>Территория действия тарифа</v>
      </c>
      <c r="AQ3" s="79"/>
      <c r="AR3" s="79"/>
    </row>
    <row r="4" spans="1:44" ht="23.25" hidden="1" customHeight="1">
      <c r="A4" s="822"/>
      <c r="B4" s="822"/>
      <c r="C4" s="822"/>
      <c r="D4" s="822"/>
      <c r="E4" s="1338"/>
      <c r="F4" s="1338"/>
      <c r="G4" s="1337">
        <v>1</v>
      </c>
      <c r="H4" s="822"/>
      <c r="I4" s="822"/>
      <c r="J4" s="822"/>
      <c r="K4" s="822"/>
      <c r="L4" s="823"/>
      <c r="M4" s="452"/>
      <c r="N4" s="452"/>
      <c r="O4" s="452"/>
      <c r="P4" s="219"/>
      <c r="Q4" s="217"/>
      <c r="R4" s="218"/>
      <c r="S4" s="755" t="e">
        <f>INDEX(PT_DIFFERENTIATION_NUM_CS,MATCH(C4,PT_DIFFERENTIATION_CS_ID,0))</f>
        <v>#N/A</v>
      </c>
      <c r="T4" s="188" t="s">
        <v>1464</v>
      </c>
      <c r="U4" s="179"/>
      <c r="V4" s="1331"/>
      <c r="W4" s="1332"/>
      <c r="X4" s="1332"/>
      <c r="Y4" s="1332"/>
      <c r="Z4" s="1332"/>
      <c r="AA4" s="1332"/>
      <c r="AB4" s="1332"/>
      <c r="AC4" s="1333"/>
      <c r="AD4" s="1331" t="e">
        <f>INDEX(PT_DIFFERENTIATION_CS,MATCH(C4,PT_DIFFERENTIATION_CS_ID,0))</f>
        <v>#N/A</v>
      </c>
      <c r="AE4" s="1332"/>
      <c r="AF4" s="1332"/>
      <c r="AG4" s="1332"/>
      <c r="AH4" s="1332"/>
      <c r="AI4" s="1332"/>
      <c r="AJ4" s="1332"/>
      <c r="AK4" s="1332"/>
      <c r="AL4" s="1333"/>
      <c r="AM4" s="782" t="s">
        <v>1465</v>
      </c>
      <c r="AO4" s="79"/>
      <c r="AP4" s="79" t="str">
        <f t="shared" si="0"/>
        <v xml:space="preserve">Наименование системы теплоснабжения </v>
      </c>
      <c r="AQ4" s="79"/>
      <c r="AR4" s="79"/>
    </row>
    <row r="5" spans="1:44" ht="21" hidden="1" customHeight="1">
      <c r="A5" s="822"/>
      <c r="B5" s="822"/>
      <c r="C5" s="822"/>
      <c r="D5" s="822"/>
      <c r="E5" s="1338"/>
      <c r="F5" s="1338"/>
      <c r="G5" s="1338"/>
      <c r="H5" s="1337">
        <v>1</v>
      </c>
      <c r="I5" s="822"/>
      <c r="J5" s="822"/>
      <c r="K5" s="822"/>
      <c r="L5" s="823"/>
      <c r="M5" s="452"/>
      <c r="N5" s="452"/>
      <c r="O5" s="452"/>
      <c r="P5" s="219"/>
      <c r="Q5" s="217"/>
      <c r="R5" s="218"/>
      <c r="S5" s="755" t="e">
        <f>INDEX(PT_DIFFERENTIATION_NUM_IST_TE,MATCH(D5,PT_DIFFERENTIATION_IST_TE_ID,0))</f>
        <v>#N/A</v>
      </c>
      <c r="T5" s="189" t="s">
        <v>1466</v>
      </c>
      <c r="U5" s="179"/>
      <c r="V5" s="1331"/>
      <c r="W5" s="1332"/>
      <c r="X5" s="1332"/>
      <c r="Y5" s="1332"/>
      <c r="Z5" s="1332"/>
      <c r="AA5" s="1332"/>
      <c r="AB5" s="1332"/>
      <c r="AC5" s="1333"/>
      <c r="AD5" s="1331" t="e">
        <f>INDEX(PT_DIFFERENTIATION_IST_TE,MATCH(D5,PT_DIFFERENTIATION_IST_TE_ID,0))</f>
        <v>#N/A</v>
      </c>
      <c r="AE5" s="1332"/>
      <c r="AF5" s="1332"/>
      <c r="AG5" s="1332"/>
      <c r="AH5" s="1332"/>
      <c r="AI5" s="1332"/>
      <c r="AJ5" s="1332"/>
      <c r="AK5" s="1332"/>
      <c r="AL5" s="1333"/>
      <c r="AM5" s="782" t="s">
        <v>1467</v>
      </c>
      <c r="AO5" s="79"/>
      <c r="AP5" s="79" t="str">
        <f t="shared" si="0"/>
        <v xml:space="preserve">Источник тепловой энергии  </v>
      </c>
      <c r="AQ5" s="79"/>
      <c r="AR5" s="79"/>
    </row>
    <row r="6" spans="1:44" ht="47.25" hidden="1" customHeight="1">
      <c r="A6" s="822"/>
      <c r="B6" s="822"/>
      <c r="C6" s="822"/>
      <c r="D6" s="822"/>
      <c r="E6" s="1338"/>
      <c r="F6" s="1338"/>
      <c r="G6" s="1338"/>
      <c r="H6" s="1338"/>
      <c r="I6" s="1339" t="e">
        <f>S5&amp;".1"</f>
        <v>#N/A</v>
      </c>
      <c r="J6" s="822"/>
      <c r="K6" s="822"/>
      <c r="L6" s="823" t="s">
        <v>1468</v>
      </c>
      <c r="M6" s="72"/>
      <c r="P6" s="1259">
        <v>1</v>
      </c>
      <c r="Q6" s="127"/>
      <c r="R6" s="221"/>
      <c r="S6" s="755" t="e">
        <f>$I6</f>
        <v>#N/A</v>
      </c>
      <c r="T6" s="172" t="s">
        <v>1469</v>
      </c>
      <c r="U6" s="179"/>
      <c r="V6" s="1326"/>
      <c r="W6" s="1327"/>
      <c r="X6" s="1327"/>
      <c r="Y6" s="1327"/>
      <c r="Z6" s="1327"/>
      <c r="AA6" s="1327"/>
      <c r="AB6" s="1327"/>
      <c r="AC6" s="1328"/>
      <c r="AD6" s="1326"/>
      <c r="AE6" s="1327"/>
      <c r="AF6" s="1327"/>
      <c r="AG6" s="1327"/>
      <c r="AH6" s="1327"/>
      <c r="AI6" s="1327"/>
      <c r="AJ6" s="1327"/>
      <c r="AK6" s="1327"/>
      <c r="AL6" s="1328"/>
      <c r="AM6" s="782" t="s">
        <v>1470</v>
      </c>
      <c r="AO6" s="79"/>
      <c r="AP6" s="79" t="str">
        <f t="shared" si="0"/>
        <v>Схема подключения теплопотребляющей установки к коллектору источника тепловой энергии</v>
      </c>
      <c r="AQ6" s="79"/>
      <c r="AR6" s="79"/>
    </row>
    <row r="7" spans="1:44" ht="21" hidden="1" customHeight="1">
      <c r="A7" s="822"/>
      <c r="B7" s="822"/>
      <c r="C7" s="822"/>
      <c r="D7" s="822"/>
      <c r="E7" s="1338"/>
      <c r="F7" s="1338"/>
      <c r="G7" s="1338"/>
      <c r="H7" s="1338"/>
      <c r="I7" s="1340"/>
      <c r="J7" s="1339" t="e">
        <f>I6&amp;".1"</f>
        <v>#N/A</v>
      </c>
      <c r="K7" s="822"/>
      <c r="L7" s="823" t="s">
        <v>1471</v>
      </c>
      <c r="M7" s="72"/>
      <c r="N7" s="72"/>
      <c r="P7" s="1259"/>
      <c r="Q7" s="1259">
        <v>1</v>
      </c>
      <c r="R7" s="222"/>
      <c r="S7" s="755" t="e">
        <f>$J7</f>
        <v>#N/A</v>
      </c>
      <c r="T7" s="173" t="s">
        <v>1472</v>
      </c>
      <c r="U7" s="179"/>
      <c r="V7" s="1326"/>
      <c r="W7" s="1327"/>
      <c r="X7" s="1327"/>
      <c r="Y7" s="1327"/>
      <c r="Z7" s="1327"/>
      <c r="AA7" s="1327"/>
      <c r="AB7" s="1327"/>
      <c r="AC7" s="1328"/>
      <c r="AD7" s="1326"/>
      <c r="AE7" s="1327"/>
      <c r="AF7" s="1327"/>
      <c r="AG7" s="1327"/>
      <c r="AH7" s="1327"/>
      <c r="AI7" s="1327"/>
      <c r="AJ7" s="1327"/>
      <c r="AK7" s="1327"/>
      <c r="AL7" s="1328"/>
      <c r="AM7" s="782" t="s">
        <v>1473</v>
      </c>
      <c r="AO7" s="79"/>
      <c r="AP7" s="79" t="str">
        <f t="shared" si="0"/>
        <v>Группа потребителей</v>
      </c>
      <c r="AQ7" s="79"/>
      <c r="AR7" s="79"/>
    </row>
    <row r="8" spans="1:44" ht="21" hidden="1" customHeight="1">
      <c r="A8" s="822"/>
      <c r="B8" s="822"/>
      <c r="C8" s="822"/>
      <c r="D8" s="822"/>
      <c r="E8" s="1338"/>
      <c r="F8" s="1338"/>
      <c r="G8" s="1338"/>
      <c r="H8" s="1338"/>
      <c r="I8" s="1340"/>
      <c r="J8" s="1340"/>
      <c r="K8" s="1339" t="e">
        <f>J7&amp;".1"</f>
        <v>#N/A</v>
      </c>
      <c r="L8" s="823" t="s">
        <v>1474</v>
      </c>
      <c r="M8" s="72"/>
      <c r="N8" s="72"/>
      <c r="O8" s="72"/>
      <c r="P8" s="1259"/>
      <c r="Q8" s="1259"/>
      <c r="R8" s="222">
        <v>1</v>
      </c>
      <c r="S8" s="755" t="e">
        <f>$K8</f>
        <v>#N/A</v>
      </c>
      <c r="T8" s="821"/>
      <c r="U8" s="179"/>
      <c r="V8" s="1054"/>
      <c r="W8" s="1055"/>
      <c r="X8" s="1054"/>
      <c r="Y8" s="1056"/>
      <c r="Z8" s="1341"/>
      <c r="AA8" s="1133" t="s">
        <v>67</v>
      </c>
      <c r="AB8" s="1341"/>
      <c r="AC8" s="1133" t="s">
        <v>67</v>
      </c>
      <c r="AD8" s="1054"/>
      <c r="AE8" s="1055"/>
      <c r="AF8" s="1054"/>
      <c r="AG8" s="1056"/>
      <c r="AH8" s="1341"/>
      <c r="AI8" s="1133" t="s">
        <v>67</v>
      </c>
      <c r="AJ8" s="1341"/>
      <c r="AK8" s="1133" t="s">
        <v>67</v>
      </c>
      <c r="AL8" s="1055"/>
      <c r="AM8" s="1359" t="s">
        <v>1475</v>
      </c>
      <c r="AN8" s="77" t="e">
        <f ca="1">STRCHECKDATE(V9:AL9)</f>
        <v>#NAME?</v>
      </c>
      <c r="AO8" s="79"/>
      <c r="AP8" s="79" t="str">
        <f t="shared" si="0"/>
        <v/>
      </c>
      <c r="AQ8" s="79"/>
      <c r="AR8" s="79"/>
    </row>
    <row r="9" spans="1:44" ht="0.75" hidden="1" customHeight="1">
      <c r="A9" s="822"/>
      <c r="B9" s="822"/>
      <c r="C9" s="822"/>
      <c r="D9" s="822"/>
      <c r="E9" s="1338"/>
      <c r="F9" s="1338"/>
      <c r="G9" s="1338"/>
      <c r="H9" s="1338"/>
      <c r="I9" s="1340"/>
      <c r="J9" s="1340"/>
      <c r="K9" s="1339"/>
      <c r="L9" s="823"/>
      <c r="M9" s="72"/>
      <c r="N9" s="72"/>
      <c r="O9" s="72"/>
      <c r="P9" s="1259"/>
      <c r="Q9" s="1259"/>
      <c r="R9" s="222"/>
      <c r="S9" s="74"/>
      <c r="T9" s="179"/>
      <c r="U9" s="179"/>
      <c r="V9" s="1055"/>
      <c r="W9" s="1055"/>
      <c r="X9" s="1055"/>
      <c r="Y9" s="1057" t="str">
        <f>Z8&amp;"-"&amp;AB8</f>
        <v>-</v>
      </c>
      <c r="Z9" s="1342"/>
      <c r="AA9" s="1133"/>
      <c r="AB9" s="1342"/>
      <c r="AC9" s="1133"/>
      <c r="AD9" s="1055"/>
      <c r="AE9" s="1055"/>
      <c r="AF9" s="1055"/>
      <c r="AG9" s="1057" t="str">
        <f>AH8&amp;"-"&amp;AJ8</f>
        <v>-</v>
      </c>
      <c r="AH9" s="1342"/>
      <c r="AI9" s="1133"/>
      <c r="AJ9" s="1342"/>
      <c r="AK9" s="1133"/>
      <c r="AL9" s="1055"/>
      <c r="AM9" s="1360"/>
      <c r="AO9" s="79"/>
      <c r="AP9" s="79" t="str">
        <f t="shared" si="0"/>
        <v/>
      </c>
      <c r="AQ9" s="79"/>
      <c r="AR9" s="79"/>
    </row>
    <row r="10" spans="1:44" ht="15" hidden="1" customHeight="1">
      <c r="A10" s="822"/>
      <c r="B10" s="822"/>
      <c r="C10" s="822"/>
      <c r="D10" s="822"/>
      <c r="E10" s="1338"/>
      <c r="F10" s="1338"/>
      <c r="G10" s="1338"/>
      <c r="H10" s="1338"/>
      <c r="I10" s="1340"/>
      <c r="J10" s="1339"/>
      <c r="K10" s="822"/>
      <c r="L10" s="823"/>
      <c r="M10" s="72"/>
      <c r="N10" s="72"/>
      <c r="P10" s="1259"/>
      <c r="Q10" s="1259"/>
      <c r="R10" s="221"/>
      <c r="S10" s="796"/>
      <c r="T10" s="175" t="s">
        <v>1476</v>
      </c>
      <c r="U10" s="228"/>
      <c r="V10" s="228"/>
      <c r="W10" s="228"/>
      <c r="X10" s="228"/>
      <c r="Y10" s="228"/>
      <c r="Z10" s="228"/>
      <c r="AA10" s="228"/>
      <c r="AB10" s="228"/>
      <c r="AC10" s="228"/>
      <c r="AD10" s="228"/>
      <c r="AE10" s="228"/>
      <c r="AF10" s="228"/>
      <c r="AG10" s="228"/>
      <c r="AH10" s="228"/>
      <c r="AI10" s="228"/>
      <c r="AJ10" s="228"/>
      <c r="AK10" s="228"/>
      <c r="AL10" s="204"/>
      <c r="AM10" s="1361"/>
      <c r="AO10" s="79"/>
      <c r="AP10" s="79" t="str">
        <f t="shared" si="0"/>
        <v>Добавить вид теплоносителя (параметры теплоносителя)</v>
      </c>
      <c r="AQ10" s="79"/>
      <c r="AR10" s="79"/>
    </row>
    <row r="11" spans="1:44" ht="15" hidden="1" customHeight="1">
      <c r="A11" s="822"/>
      <c r="B11" s="822"/>
      <c r="C11" s="822"/>
      <c r="D11" s="822"/>
      <c r="E11" s="1338"/>
      <c r="F11" s="1338"/>
      <c r="G11" s="1338"/>
      <c r="H11" s="1338"/>
      <c r="I11" s="1339"/>
      <c r="J11" s="822"/>
      <c r="K11" s="822"/>
      <c r="L11" s="823"/>
      <c r="M11" s="72"/>
      <c r="P11" s="1259"/>
      <c r="Q11" s="127"/>
      <c r="R11" s="221"/>
      <c r="S11" s="796"/>
      <c r="T11" s="174" t="s">
        <v>1477</v>
      </c>
      <c r="U11" s="228"/>
      <c r="V11" s="228"/>
      <c r="W11" s="228"/>
      <c r="X11" s="228"/>
      <c r="Y11" s="228"/>
      <c r="Z11" s="228"/>
      <c r="AA11" s="228"/>
      <c r="AB11" s="228"/>
      <c r="AC11" s="205"/>
      <c r="AD11" s="228"/>
      <c r="AE11" s="228"/>
      <c r="AF11" s="228"/>
      <c r="AG11" s="228"/>
      <c r="AH11" s="228"/>
      <c r="AI11" s="228"/>
      <c r="AJ11" s="228"/>
      <c r="AK11" s="205"/>
      <c r="AL11" s="228"/>
      <c r="AM11" s="182"/>
      <c r="AO11" s="79"/>
      <c r="AP11" s="79" t="str">
        <f t="shared" si="0"/>
        <v>Добавить группу потребителей</v>
      </c>
      <c r="AQ11" s="79"/>
      <c r="AR11" s="79"/>
    </row>
    <row r="12" spans="1:44" ht="14.25" hidden="1" customHeight="1">
      <c r="A12" s="822"/>
      <c r="B12" s="822"/>
      <c r="C12" s="822"/>
      <c r="D12" s="822"/>
      <c r="E12" s="1338"/>
      <c r="F12" s="1338"/>
      <c r="G12" s="1338"/>
      <c r="H12" s="1337"/>
      <c r="I12" s="822"/>
      <c r="J12" s="822"/>
      <c r="K12" s="822"/>
      <c r="L12" s="823"/>
      <c r="M12" s="452"/>
      <c r="N12" s="452"/>
      <c r="O12" s="72"/>
      <c r="P12" s="43"/>
      <c r="Q12" s="231"/>
      <c r="R12" s="220"/>
      <c r="S12" s="796"/>
      <c r="T12" s="226" t="s">
        <v>1478</v>
      </c>
      <c r="U12" s="228"/>
      <c r="V12" s="228"/>
      <c r="W12" s="228"/>
      <c r="X12" s="228"/>
      <c r="Y12" s="228"/>
      <c r="Z12" s="228"/>
      <c r="AA12" s="228"/>
      <c r="AB12" s="228"/>
      <c r="AC12" s="205"/>
      <c r="AD12" s="228"/>
      <c r="AE12" s="228"/>
      <c r="AF12" s="228"/>
      <c r="AG12" s="228"/>
      <c r="AH12" s="228"/>
      <c r="AI12" s="228"/>
      <c r="AJ12" s="228"/>
      <c r="AK12" s="205"/>
      <c r="AL12" s="228"/>
      <c r="AM12" s="182"/>
      <c r="AO12" s="79"/>
      <c r="AP12" s="79" t="str">
        <f t="shared" si="0"/>
        <v>Добавить схему подключения</v>
      </c>
      <c r="AQ12" s="79"/>
      <c r="AR12" s="79"/>
    </row>
    <row r="13" spans="1:44" s="77" customFormat="1" ht="0.75" hidden="1" customHeight="1">
      <c r="A13" s="150"/>
      <c r="B13" s="150"/>
      <c r="C13" s="150"/>
      <c r="D13" s="150"/>
      <c r="E13" s="1338"/>
      <c r="F13" s="1338"/>
      <c r="G13" s="1337"/>
      <c r="H13" s="150"/>
      <c r="I13" s="150"/>
      <c r="J13" s="150"/>
      <c r="K13" s="150"/>
      <c r="L13" s="373"/>
      <c r="M13" s="318"/>
      <c r="N13" s="318"/>
      <c r="P13" s="111"/>
      <c r="Q13" s="811"/>
      <c r="R13" s="111"/>
      <c r="S13" s="812"/>
      <c r="T13" s="813" t="s">
        <v>1437</v>
      </c>
      <c r="U13" s="814"/>
      <c r="V13" s="814"/>
      <c r="W13" s="814"/>
      <c r="X13" s="814"/>
      <c r="Y13" s="814"/>
      <c r="Z13" s="814"/>
      <c r="AA13" s="814"/>
      <c r="AB13" s="814"/>
      <c r="AC13" s="814"/>
      <c r="AD13" s="814"/>
      <c r="AE13" s="814"/>
      <c r="AF13" s="814"/>
      <c r="AG13" s="814"/>
      <c r="AH13" s="814"/>
      <c r="AI13" s="814"/>
      <c r="AJ13" s="814"/>
      <c r="AK13" s="814"/>
      <c r="AL13" s="814"/>
      <c r="AM13" s="814"/>
      <c r="AO13" s="79"/>
      <c r="AP13" s="79" t="str">
        <f t="shared" si="0"/>
        <v>Добавить источник для дифференциации</v>
      </c>
      <c r="AQ13" s="79"/>
      <c r="AR13" s="79"/>
    </row>
    <row r="14" spans="1:44" s="77" customFormat="1" ht="0.75" hidden="1" customHeight="1">
      <c r="A14" s="150"/>
      <c r="B14" s="150"/>
      <c r="C14" s="150"/>
      <c r="D14" s="150"/>
      <c r="E14" s="1338"/>
      <c r="F14" s="1337"/>
      <c r="G14" s="150"/>
      <c r="H14" s="150"/>
      <c r="I14" s="150"/>
      <c r="J14" s="150"/>
      <c r="K14" s="150"/>
      <c r="L14" s="373"/>
      <c r="M14" s="815"/>
      <c r="N14" s="815"/>
      <c r="P14" s="111"/>
      <c r="Q14" s="811"/>
      <c r="R14" s="111"/>
      <c r="S14" s="816"/>
      <c r="T14" s="817" t="s">
        <v>1438</v>
      </c>
      <c r="U14" s="338"/>
      <c r="V14" s="338"/>
      <c r="W14" s="338"/>
      <c r="X14" s="338"/>
      <c r="Y14" s="338"/>
      <c r="Z14" s="338"/>
      <c r="AA14" s="338"/>
      <c r="AB14" s="338"/>
      <c r="AC14" s="338"/>
      <c r="AD14" s="338"/>
      <c r="AE14" s="338"/>
      <c r="AF14" s="338"/>
      <c r="AG14" s="338"/>
      <c r="AH14" s="338"/>
      <c r="AI14" s="338"/>
      <c r="AJ14" s="338"/>
      <c r="AK14" s="338"/>
      <c r="AL14" s="338"/>
      <c r="AM14" s="338"/>
      <c r="AO14" s="79"/>
      <c r="AP14" s="79" t="str">
        <f t="shared" si="0"/>
        <v>Добавить централизованную систему для дифференциации</v>
      </c>
      <c r="AQ14" s="79"/>
      <c r="AR14" s="79"/>
    </row>
    <row r="15" spans="1:44" s="77" customFormat="1" ht="0.75" hidden="1" customHeight="1">
      <c r="A15" s="150"/>
      <c r="B15" s="150"/>
      <c r="C15" s="150"/>
      <c r="D15" s="150"/>
      <c r="E15" s="1337"/>
      <c r="F15" s="150"/>
      <c r="G15" s="150"/>
      <c r="H15" s="150"/>
      <c r="I15" s="150"/>
      <c r="J15" s="150"/>
      <c r="K15" s="150"/>
      <c r="L15" s="373"/>
      <c r="M15" s="815"/>
      <c r="N15" s="815"/>
      <c r="P15" s="111"/>
      <c r="Q15" s="811"/>
      <c r="R15" s="111"/>
      <c r="S15" s="816"/>
      <c r="T15" s="818" t="s">
        <v>1439</v>
      </c>
      <c r="U15" s="338"/>
      <c r="V15" s="338"/>
      <c r="W15" s="338"/>
      <c r="X15" s="338"/>
      <c r="Y15" s="338"/>
      <c r="Z15" s="338"/>
      <c r="AA15" s="338"/>
      <c r="AB15" s="338"/>
      <c r="AC15" s="338"/>
      <c r="AD15" s="338"/>
      <c r="AE15" s="338"/>
      <c r="AF15" s="338"/>
      <c r="AG15" s="338"/>
      <c r="AH15" s="338"/>
      <c r="AI15" s="338"/>
      <c r="AJ15" s="338"/>
      <c r="AK15" s="338"/>
      <c r="AL15" s="338"/>
      <c r="AM15" s="338"/>
      <c r="AO15" s="79"/>
      <c r="AP15" s="79" t="str">
        <f t="shared" si="0"/>
        <v>Добавить территорию для дифференциации</v>
      </c>
      <c r="AQ15" s="79"/>
      <c r="AR15" s="79"/>
    </row>
    <row r="16" spans="1:44" ht="14.25" hidden="1" customHeight="1"/>
    <row r="17" spans="1:44" ht="14.25" hidden="1" customHeight="1">
      <c r="AD17" s="1058"/>
      <c r="AE17" s="1058"/>
      <c r="AF17" s="1058"/>
      <c r="AG17" s="1059"/>
      <c r="AH17" s="1335"/>
      <c r="AI17" s="1334" t="s">
        <v>67</v>
      </c>
      <c r="AJ17" s="1335"/>
      <c r="AK17" s="1334" t="s">
        <v>67</v>
      </c>
    </row>
    <row r="18" spans="1:44" ht="14.25" hidden="1" customHeight="1">
      <c r="AD18" s="1058"/>
      <c r="AE18" s="1058"/>
      <c r="AF18" s="1058"/>
      <c r="AG18" s="1057" t="str">
        <f>AH17&amp;"-"&amp;AJ17</f>
        <v>-</v>
      </c>
      <c r="AH18" s="1334"/>
      <c r="AI18" s="1334"/>
      <c r="AJ18" s="1334"/>
      <c r="AK18" s="1334"/>
    </row>
    <row r="19" spans="1:44" ht="14.25" hidden="1" customHeight="1"/>
    <row r="20" spans="1:44" s="72" customFormat="1" ht="22.5" hidden="1" customHeight="1">
      <c r="L20" s="388"/>
      <c r="M20" s="541"/>
      <c r="N20" s="541"/>
      <c r="O20" s="824" t="s">
        <v>1479</v>
      </c>
      <c r="P20" s="541"/>
      <c r="Q20" s="825"/>
      <c r="R20" s="825"/>
      <c r="S20" s="452"/>
      <c r="Z20" s="824"/>
      <c r="AB20" s="824"/>
      <c r="AH20" s="824"/>
      <c r="AJ20" s="824"/>
      <c r="AN20" s="77"/>
      <c r="AO20" s="77"/>
      <c r="AP20" s="77"/>
      <c r="AQ20" s="77"/>
      <c r="AR20" s="77"/>
    </row>
    <row r="21" spans="1:44" s="72" customFormat="1" ht="14.25" hidden="1" customHeight="1">
      <c r="L21" s="388"/>
      <c r="M21" s="541"/>
      <c r="N21" s="541"/>
      <c r="O21" s="541"/>
      <c r="P21" s="541"/>
      <c r="Q21" s="825"/>
      <c r="R21" s="825"/>
      <c r="S21" s="452"/>
      <c r="AN21" s="77"/>
      <c r="AO21" s="77"/>
      <c r="AP21" s="77"/>
      <c r="AQ21" s="77"/>
      <c r="AR21" s="77"/>
    </row>
    <row r="22" spans="1:44" s="72" customFormat="1" ht="14.25" hidden="1" customHeight="1">
      <c r="L22" s="388"/>
      <c r="M22" s="541"/>
      <c r="N22" s="541"/>
      <c r="O22" s="823" t="s">
        <v>1480</v>
      </c>
      <c r="P22" s="541"/>
      <c r="Q22" s="825"/>
      <c r="R22" s="825"/>
      <c r="S22" s="452"/>
      <c r="T22" s="72" t="s">
        <v>1481</v>
      </c>
      <c r="AA22" s="91" t="s">
        <v>1482</v>
      </c>
      <c r="AC22" s="91" t="s">
        <v>1483</v>
      </c>
      <c r="AD22" s="72" t="s">
        <v>1481</v>
      </c>
      <c r="AI22" s="91" t="s">
        <v>1484</v>
      </c>
      <c r="AK22" s="91" t="s">
        <v>1483</v>
      </c>
      <c r="AN22" s="77"/>
      <c r="AO22" s="77"/>
      <c r="AP22" s="77"/>
      <c r="AQ22" s="77"/>
      <c r="AR22" s="77"/>
    </row>
    <row r="23" spans="1:44" ht="14.25" hidden="1" customHeight="1">
      <c r="O23" s="823"/>
    </row>
    <row r="24" spans="1:44" ht="14.25" hidden="1" customHeight="1">
      <c r="O24" s="823"/>
    </row>
    <row r="25" spans="1:44" ht="14.25" customHeight="1">
      <c r="Q25" s="36"/>
      <c r="R25" s="36"/>
      <c r="S25" s="793"/>
      <c r="T25" s="25"/>
      <c r="U25" s="25"/>
    </row>
    <row r="26" spans="1:44" ht="64.5" customHeight="1">
      <c r="Q26" s="36"/>
      <c r="R26" s="36"/>
      <c r="S26" s="1181" t="str">
        <f>IF(TEMPLATE_GROUP="P",PT_P_FORM_HEAT_4_NAME_FORM,PT_R_FORM_HEAT_21_NAME_FORM)</f>
        <v>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v>
      </c>
      <c r="T26" s="1181"/>
      <c r="U26" s="1181"/>
      <c r="V26" s="1181"/>
      <c r="W26" s="1181"/>
      <c r="X26" s="1181"/>
      <c r="Y26" s="1181"/>
      <c r="Z26" s="1181"/>
      <c r="AA26" s="1181"/>
      <c r="AB26" s="1181"/>
      <c r="AC26" s="1181"/>
      <c r="AD26" s="1181"/>
      <c r="AE26" s="1181"/>
      <c r="AF26" s="1181"/>
      <c r="AG26" s="1181"/>
      <c r="AH26" s="1181"/>
      <c r="AI26" s="1181"/>
      <c r="AJ26" s="1181"/>
      <c r="AK26" s="69"/>
    </row>
    <row r="27" spans="1:44" ht="14.25" customHeight="1">
      <c r="Q27" s="36"/>
      <c r="R27" s="36"/>
      <c r="S27" s="1204" t="str">
        <f>IF(org=0,"Не определено",org)</f>
        <v>ООО "ТЕПЛО ПЛЮС"</v>
      </c>
      <c r="T27" s="1204"/>
      <c r="U27" s="1204"/>
      <c r="V27" s="1204"/>
      <c r="W27" s="1204"/>
      <c r="X27" s="1204"/>
      <c r="Y27" s="1204"/>
      <c r="Z27" s="1204"/>
      <c r="AA27" s="1204"/>
      <c r="AB27" s="1204"/>
      <c r="AC27" s="1204"/>
      <c r="AD27" s="1204"/>
      <c r="AE27" s="1204"/>
      <c r="AF27" s="1204"/>
      <c r="AG27" s="1204"/>
      <c r="AH27" s="1204"/>
      <c r="AI27" s="1204"/>
      <c r="AJ27" s="1204"/>
      <c r="AK27" s="69"/>
    </row>
    <row r="28" spans="1:44" ht="14.25" hidden="1" customHeight="1">
      <c r="Q28" s="36"/>
      <c r="R28" s="36"/>
      <c r="S28" s="793"/>
      <c r="T28" s="25"/>
      <c r="U28" s="25"/>
      <c r="V28" s="202"/>
      <c r="W28" s="202"/>
      <c r="X28" s="202"/>
      <c r="Y28" s="202"/>
      <c r="Z28" s="202"/>
      <c r="AA28" s="202"/>
      <c r="AB28" s="202"/>
      <c r="AC28" s="202"/>
      <c r="AD28" s="202"/>
      <c r="AE28" s="202"/>
      <c r="AF28" s="202"/>
      <c r="AG28" s="202"/>
      <c r="AH28" s="202"/>
      <c r="AI28" s="202"/>
      <c r="AJ28" s="202"/>
      <c r="AK28" s="202"/>
    </row>
    <row r="29" spans="1:44" s="44" customFormat="1" ht="25.5" hidden="1" customHeight="1">
      <c r="A29" s="91"/>
      <c r="B29" s="91"/>
      <c r="C29" s="91"/>
      <c r="D29" s="91"/>
      <c r="E29" s="91"/>
      <c r="F29" s="91"/>
      <c r="G29" s="91"/>
      <c r="H29" s="91"/>
      <c r="I29" s="91"/>
      <c r="J29" s="91"/>
      <c r="K29" s="91"/>
      <c r="L29" s="823"/>
      <c r="M29" s="91"/>
      <c r="N29" s="91"/>
      <c r="O29" s="91"/>
      <c r="S29" s="1329" t="s">
        <v>39</v>
      </c>
      <c r="T29" s="1329"/>
      <c r="U29" s="826"/>
      <c r="V29" s="1330" t="str">
        <f>IF(TITLE_NAME_OR_PR_CHANGE="",IF(TITLE_NAME_OR_PR="","",TITLE_NAME_OR_PR),TITLE_NAME_OR_PR_CHANGE)</f>
        <v/>
      </c>
      <c r="W29" s="1330"/>
      <c r="X29" s="1330"/>
      <c r="Y29" s="1330"/>
      <c r="Z29" s="1330"/>
      <c r="AA29" s="1330"/>
      <c r="AB29" s="1330"/>
      <c r="AC29" s="24"/>
      <c r="AD29" s="1330" t="str">
        <f>IF(TITLE_NAME_OR_PR_CHANGE="",IF(TITLE_NAME_OR_PR="","",TITLE_NAME_OR_PR),TITLE_NAME_OR_PR_CHANGE)</f>
        <v/>
      </c>
      <c r="AE29" s="1330"/>
      <c r="AF29" s="1330"/>
      <c r="AG29" s="1330"/>
      <c r="AH29" s="1330"/>
      <c r="AI29" s="1330"/>
      <c r="AJ29" s="1330"/>
      <c r="AK29" s="24"/>
      <c r="AL29" s="24"/>
      <c r="AM29" s="171"/>
      <c r="AN29" s="79"/>
      <c r="AO29" s="79"/>
      <c r="AP29" s="79"/>
      <c r="AQ29" s="79"/>
      <c r="AR29" s="79"/>
    </row>
    <row r="30" spans="1:44" s="44" customFormat="1" ht="18.75" hidden="1" customHeight="1">
      <c r="A30" s="91"/>
      <c r="B30" s="91"/>
      <c r="C30" s="91"/>
      <c r="D30" s="91"/>
      <c r="E30" s="91"/>
      <c r="F30" s="91"/>
      <c r="G30" s="91"/>
      <c r="H30" s="91"/>
      <c r="I30" s="91"/>
      <c r="J30" s="91"/>
      <c r="K30" s="91"/>
      <c r="L30" s="823"/>
      <c r="M30" s="91"/>
      <c r="N30" s="91"/>
      <c r="O30" s="91"/>
      <c r="S30" s="1329" t="s">
        <v>1485</v>
      </c>
      <c r="T30" s="1329"/>
      <c r="U30" s="826"/>
      <c r="V30" s="1330" t="str">
        <f>IF(TITLE_DATE_CHANGE_PERIOD="",IF(TITLE_DATE_PR="","",TITLE_DATE_PR),TITLE_DATE_CHANGE_PERIOD)</f>
        <v/>
      </c>
      <c r="W30" s="1330"/>
      <c r="X30" s="1330"/>
      <c r="Y30" s="1330"/>
      <c r="Z30" s="1330"/>
      <c r="AA30" s="1330"/>
      <c r="AB30" s="1330"/>
      <c r="AC30" s="24"/>
      <c r="AD30" s="1330" t="str">
        <f>IF(TITLE_DATE_CHANGE_PERIOD="",IF(TITLE_DATE_PR="","",TITLE_DATE_PR),TITLE_DATE_CHANGE_PERIOD)</f>
        <v/>
      </c>
      <c r="AE30" s="1330"/>
      <c r="AF30" s="1330"/>
      <c r="AG30" s="1330"/>
      <c r="AH30" s="1330"/>
      <c r="AI30" s="1330"/>
      <c r="AJ30" s="1330"/>
      <c r="AK30" s="24"/>
      <c r="AL30" s="24"/>
      <c r="AM30" s="171"/>
      <c r="AN30" s="79"/>
      <c r="AO30" s="79"/>
      <c r="AP30" s="79"/>
      <c r="AQ30" s="79"/>
      <c r="AR30" s="79"/>
    </row>
    <row r="31" spans="1:44" s="44" customFormat="1" ht="18.75" hidden="1" customHeight="1">
      <c r="A31" s="91"/>
      <c r="B31" s="91"/>
      <c r="C31" s="91"/>
      <c r="D31" s="91"/>
      <c r="E31" s="91"/>
      <c r="F31" s="91"/>
      <c r="G31" s="91"/>
      <c r="H31" s="91"/>
      <c r="I31" s="91"/>
      <c r="J31" s="91"/>
      <c r="K31" s="91"/>
      <c r="L31" s="823"/>
      <c r="M31" s="91"/>
      <c r="N31" s="91"/>
      <c r="O31" s="91"/>
      <c r="S31" s="1329" t="s">
        <v>1486</v>
      </c>
      <c r="T31" s="1329"/>
      <c r="U31" s="826"/>
      <c r="V31" s="1330" t="str">
        <f>IF(TITLE_NUMBER_PR_CHANGE="",IF(TITLE_NUMBER_PR="","",TITLE_NUMBER_PR),TITLE_NUMBER_PR_CHANGE)</f>
        <v/>
      </c>
      <c r="W31" s="1330"/>
      <c r="X31" s="1330"/>
      <c r="Y31" s="1330"/>
      <c r="Z31" s="1330"/>
      <c r="AA31" s="1330"/>
      <c r="AB31" s="1330"/>
      <c r="AC31" s="24"/>
      <c r="AD31" s="1330" t="str">
        <f>IF(TITLE_NUMBER_PR_CHANGE="",IF(TITLE_NUMBER_PR="","",TITLE_NUMBER_PR),TITLE_NUMBER_PR_CHANGE)</f>
        <v/>
      </c>
      <c r="AE31" s="1330"/>
      <c r="AF31" s="1330"/>
      <c r="AG31" s="1330"/>
      <c r="AH31" s="1330"/>
      <c r="AI31" s="1330"/>
      <c r="AJ31" s="1330"/>
      <c r="AK31" s="24"/>
      <c r="AL31" s="24"/>
      <c r="AM31" s="171"/>
      <c r="AN31" s="79"/>
      <c r="AO31" s="79"/>
      <c r="AP31" s="79"/>
      <c r="AQ31" s="79"/>
      <c r="AR31" s="79"/>
    </row>
    <row r="32" spans="1:44" s="44" customFormat="1" ht="18.75" hidden="1" customHeight="1">
      <c r="A32" s="91"/>
      <c r="B32" s="91"/>
      <c r="C32" s="91"/>
      <c r="D32" s="91"/>
      <c r="E32" s="91"/>
      <c r="F32" s="91"/>
      <c r="G32" s="91"/>
      <c r="H32" s="91"/>
      <c r="I32" s="91"/>
      <c r="J32" s="91"/>
      <c r="K32" s="91"/>
      <c r="L32" s="823"/>
      <c r="M32" s="91"/>
      <c r="N32" s="91"/>
      <c r="O32" s="91"/>
      <c r="S32" s="1329" t="s">
        <v>40</v>
      </c>
      <c r="T32" s="1329"/>
      <c r="U32" s="826"/>
      <c r="V32" s="1330" t="str">
        <f>IF(TITLE_IST_PUB_CHANGE="",IF(TITLE_IST_PUB="","",TITLE_IST_PUB),TITLE_IST_PUB_CHANGE)</f>
        <v/>
      </c>
      <c r="W32" s="1330"/>
      <c r="X32" s="1330"/>
      <c r="Y32" s="1330"/>
      <c r="Z32" s="1330"/>
      <c r="AA32" s="1330"/>
      <c r="AB32" s="1330"/>
      <c r="AC32" s="24"/>
      <c r="AD32" s="1330" t="str">
        <f>IF(TITLE_IST_PUB_CHANGE="",IF(TITLE_IST_PUB="","",TITLE_IST_PUB),TITLE_IST_PUB_CHANGE)</f>
        <v/>
      </c>
      <c r="AE32" s="1330"/>
      <c r="AF32" s="1330"/>
      <c r="AG32" s="1330"/>
      <c r="AH32" s="1330"/>
      <c r="AI32" s="1330"/>
      <c r="AJ32" s="1330"/>
      <c r="AK32" s="24"/>
      <c r="AL32" s="24"/>
      <c r="AM32" s="171"/>
      <c r="AN32" s="79"/>
      <c r="AO32" s="79"/>
      <c r="AP32" s="79"/>
      <c r="AQ32" s="79"/>
      <c r="AR32" s="79"/>
    </row>
    <row r="33" spans="1:44" ht="14.25" hidden="1" customHeight="1">
      <c r="Q33" s="36"/>
      <c r="R33" s="36"/>
      <c r="S33" s="793"/>
      <c r="T33" s="25"/>
      <c r="U33" s="25"/>
      <c r="V33" s="202"/>
      <c r="W33" s="202"/>
      <c r="X33" s="202"/>
      <c r="Y33" s="202"/>
      <c r="Z33" s="202"/>
      <c r="AA33" s="202"/>
      <c r="AB33" s="202"/>
      <c r="AC33" s="202"/>
      <c r="AD33" s="202"/>
      <c r="AE33" s="202"/>
      <c r="AF33" s="202"/>
      <c r="AG33" s="202"/>
      <c r="AH33" s="202"/>
      <c r="AI33" s="202"/>
      <c r="AJ33" s="202"/>
      <c r="AK33" s="202"/>
    </row>
    <row r="34" spans="1:44" s="44" customFormat="1" ht="18.75" hidden="1" customHeight="1">
      <c r="A34" s="91"/>
      <c r="B34" s="91"/>
      <c r="C34" s="91"/>
      <c r="D34" s="91"/>
      <c r="E34" s="91"/>
      <c r="F34" s="91"/>
      <c r="G34" s="91"/>
      <c r="H34" s="91"/>
      <c r="I34" s="91"/>
      <c r="J34" s="91"/>
      <c r="K34" s="91"/>
      <c r="L34" s="823"/>
      <c r="M34" s="91"/>
      <c r="N34" s="91"/>
      <c r="O34" s="91"/>
      <c r="S34" s="1329" t="s">
        <v>1487</v>
      </c>
      <c r="T34" s="1329"/>
      <c r="U34" s="826"/>
      <c r="V34" s="1330" t="str">
        <f>IF(TITLE_DATE_CHANGE_PERIOD="",IF(TITLE_DATE_PR="","",TITLE_DATE_PR),TITLE_DATE_CHANGE_PERIOD)</f>
        <v/>
      </c>
      <c r="W34" s="1330"/>
      <c r="X34" s="1330"/>
      <c r="Y34" s="1330"/>
      <c r="Z34" s="1330"/>
      <c r="AA34" s="1330"/>
      <c r="AB34" s="1330"/>
      <c r="AC34" s="24"/>
      <c r="AD34" s="1330" t="str">
        <f>IF(TITLE_DATE_CHANGE_PERIOD="",IF(TITLE_DATE_PR="","",TITLE_DATE_PR),TITLE_DATE_CHANGE_PERIOD)</f>
        <v/>
      </c>
      <c r="AE34" s="1330"/>
      <c r="AF34" s="1330"/>
      <c r="AG34" s="1330"/>
      <c r="AH34" s="1330"/>
      <c r="AI34" s="1330"/>
      <c r="AJ34" s="1330"/>
      <c r="AK34" s="24"/>
      <c r="AL34" s="24"/>
      <c r="AM34" s="171"/>
      <c r="AN34" s="79"/>
      <c r="AO34" s="79"/>
      <c r="AP34" s="79"/>
      <c r="AQ34" s="79"/>
      <c r="AR34" s="79"/>
    </row>
    <row r="35" spans="1:44" s="44" customFormat="1" ht="18.75" hidden="1" customHeight="1">
      <c r="A35" s="91"/>
      <c r="B35" s="91"/>
      <c r="C35" s="91"/>
      <c r="D35" s="91"/>
      <c r="E35" s="91"/>
      <c r="F35" s="91"/>
      <c r="G35" s="91"/>
      <c r="H35" s="91"/>
      <c r="I35" s="91"/>
      <c r="J35" s="91"/>
      <c r="K35" s="91"/>
      <c r="L35" s="823"/>
      <c r="M35" s="91"/>
      <c r="N35" s="91"/>
      <c r="O35" s="91"/>
      <c r="S35" s="1329" t="s">
        <v>1488</v>
      </c>
      <c r="T35" s="1329"/>
      <c r="U35" s="826"/>
      <c r="V35" s="1330" t="str">
        <f>IF(TITLE_NUMBER_PR_CHANGE="",IF(TITLE_NUMBER_PR="","",TITLE_NUMBER_PR),TITLE_NUMBER_PR_CHANGE)</f>
        <v/>
      </c>
      <c r="W35" s="1330"/>
      <c r="X35" s="1330"/>
      <c r="Y35" s="1330"/>
      <c r="Z35" s="1330"/>
      <c r="AA35" s="1330"/>
      <c r="AB35" s="1330"/>
      <c r="AC35" s="24"/>
      <c r="AD35" s="1330" t="str">
        <f>IF(TITLE_NUMBER_PR_CHANGE="",IF(TITLE_NUMBER_PR="","",TITLE_NUMBER_PR),TITLE_NUMBER_PR_CHANGE)</f>
        <v/>
      </c>
      <c r="AE35" s="1330"/>
      <c r="AF35" s="1330"/>
      <c r="AG35" s="1330"/>
      <c r="AH35" s="1330"/>
      <c r="AI35" s="1330"/>
      <c r="AJ35" s="1330"/>
      <c r="AK35" s="24"/>
      <c r="AL35" s="24"/>
      <c r="AM35" s="171"/>
      <c r="AN35" s="79"/>
      <c r="AO35" s="79"/>
      <c r="AP35" s="79"/>
      <c r="AQ35" s="79"/>
      <c r="AR35" s="79"/>
    </row>
    <row r="36" spans="1:44" s="44" customFormat="1" ht="0" hidden="1" customHeight="1">
      <c r="A36" s="91"/>
      <c r="B36" s="91"/>
      <c r="C36" s="91"/>
      <c r="D36" s="91"/>
      <c r="E36" s="91"/>
      <c r="F36" s="91"/>
      <c r="G36" s="91"/>
      <c r="H36" s="91"/>
      <c r="I36" s="91"/>
      <c r="J36" s="91"/>
      <c r="K36" s="91"/>
      <c r="L36" s="823"/>
      <c r="M36" s="91"/>
      <c r="N36" s="91"/>
      <c r="O36" s="91"/>
      <c r="S36" s="24"/>
      <c r="T36" s="24"/>
      <c r="U36" s="87"/>
      <c r="V36" s="24"/>
      <c r="W36" s="24"/>
      <c r="X36" s="24"/>
      <c r="Y36" s="24"/>
      <c r="Z36" s="24"/>
      <c r="AA36" s="24"/>
      <c r="AB36" s="24"/>
      <c r="AC36" s="77" t="s">
        <v>1489</v>
      </c>
      <c r="AD36" s="24"/>
      <c r="AE36" s="24"/>
      <c r="AF36" s="24"/>
      <c r="AG36" s="24"/>
      <c r="AH36" s="24"/>
      <c r="AI36" s="24"/>
      <c r="AJ36" s="24"/>
      <c r="AK36" s="77" t="s">
        <v>1489</v>
      </c>
      <c r="AN36" s="79"/>
      <c r="AO36" s="79"/>
      <c r="AP36" s="79"/>
      <c r="AQ36" s="79"/>
      <c r="AR36" s="79"/>
    </row>
    <row r="37" spans="1:44" ht="14.25" customHeight="1">
      <c r="Q37" s="36"/>
      <c r="R37" s="36"/>
      <c r="S37" s="793"/>
      <c r="T37" s="25"/>
      <c r="U37" s="766"/>
      <c r="V37" s="1348"/>
      <c r="W37" s="1348"/>
      <c r="X37" s="1348"/>
      <c r="Y37" s="1348"/>
      <c r="Z37" s="1348"/>
      <c r="AA37" s="1348"/>
      <c r="AB37" s="1348"/>
      <c r="AC37" s="1348"/>
      <c r="AD37" s="1348"/>
      <c r="AE37" s="1348"/>
      <c r="AF37" s="1348"/>
      <c r="AG37" s="1348"/>
      <c r="AH37" s="1348"/>
      <c r="AI37" s="1348"/>
      <c r="AJ37" s="1348"/>
      <c r="AK37" s="1348"/>
    </row>
    <row r="38" spans="1:44" ht="14.25" customHeight="1">
      <c r="Q38" s="36"/>
      <c r="R38" s="36"/>
      <c r="S38" s="1123" t="s">
        <v>292</v>
      </c>
      <c r="T38" s="1123"/>
      <c r="U38" s="1123"/>
      <c r="V38" s="1123"/>
      <c r="W38" s="1123"/>
      <c r="X38" s="1123"/>
      <c r="Y38" s="1123"/>
      <c r="Z38" s="1123"/>
      <c r="AA38" s="1123"/>
      <c r="AB38" s="1123"/>
      <c r="AC38" s="1123"/>
      <c r="AD38" s="1123"/>
      <c r="AE38" s="1123"/>
      <c r="AF38" s="1123"/>
      <c r="AG38" s="1123"/>
      <c r="AH38" s="1123"/>
      <c r="AI38" s="1123"/>
      <c r="AJ38" s="1123"/>
      <c r="AK38" s="1123"/>
      <c r="AL38" s="1123"/>
      <c r="AM38" s="1123" t="s">
        <v>293</v>
      </c>
    </row>
    <row r="39" spans="1:44" ht="14.25" customHeight="1">
      <c r="Q39" s="36"/>
      <c r="R39" s="36"/>
      <c r="S39" s="1349" t="s">
        <v>88</v>
      </c>
      <c r="T39" s="1213" t="s">
        <v>1490</v>
      </c>
      <c r="U39" s="180"/>
      <c r="V39" s="1350" t="s">
        <v>1491</v>
      </c>
      <c r="W39" s="1351"/>
      <c r="X39" s="1351"/>
      <c r="Y39" s="1351"/>
      <c r="Z39" s="1351"/>
      <c r="AA39" s="1351"/>
      <c r="AB39" s="1352"/>
      <c r="AC39" s="1353" t="s">
        <v>1492</v>
      </c>
      <c r="AD39" s="1350" t="s">
        <v>1491</v>
      </c>
      <c r="AE39" s="1351"/>
      <c r="AF39" s="1351"/>
      <c r="AG39" s="1351"/>
      <c r="AH39" s="1351"/>
      <c r="AI39" s="1351"/>
      <c r="AJ39" s="1352"/>
      <c r="AK39" s="1353" t="s">
        <v>1493</v>
      </c>
      <c r="AL39" s="1356" t="s">
        <v>1494</v>
      </c>
      <c r="AM39" s="1123"/>
    </row>
    <row r="40" spans="1:44" ht="33.75" customHeight="1">
      <c r="Q40" s="36"/>
      <c r="R40" s="36"/>
      <c r="S40" s="1349"/>
      <c r="T40" s="1213"/>
      <c r="U40" s="647"/>
      <c r="V40" s="1182" t="s">
        <v>1495</v>
      </c>
      <c r="W40" s="1345" t="s">
        <v>1496</v>
      </c>
      <c r="X40" s="1105" t="s">
        <v>1497</v>
      </c>
      <c r="Y40" s="1104"/>
      <c r="Z40" s="1105" t="s">
        <v>1498</v>
      </c>
      <c r="AA40" s="1110"/>
      <c r="AB40" s="1104"/>
      <c r="AC40" s="1354"/>
      <c r="AD40" s="1182" t="s">
        <v>1495</v>
      </c>
      <c r="AE40" s="1345" t="s">
        <v>1496</v>
      </c>
      <c r="AF40" s="1105" t="s">
        <v>1497</v>
      </c>
      <c r="AG40" s="1104"/>
      <c r="AH40" s="1105" t="s">
        <v>1498</v>
      </c>
      <c r="AI40" s="1110"/>
      <c r="AJ40" s="1104"/>
      <c r="AK40" s="1354"/>
      <c r="AL40" s="1357"/>
      <c r="AM40" s="1123"/>
    </row>
    <row r="41" spans="1:44" ht="33.75" customHeight="1">
      <c r="A41" s="91"/>
      <c r="B41" s="91" t="s">
        <v>136</v>
      </c>
      <c r="C41" s="91" t="s">
        <v>137</v>
      </c>
      <c r="D41" s="91" t="s">
        <v>138</v>
      </c>
      <c r="E41" s="823" t="s">
        <v>1499</v>
      </c>
      <c r="F41" s="823" t="s">
        <v>1500</v>
      </c>
      <c r="G41" s="823" t="s">
        <v>1501</v>
      </c>
      <c r="H41" s="823" t="s">
        <v>1502</v>
      </c>
      <c r="I41" s="823" t="s">
        <v>1503</v>
      </c>
      <c r="J41" s="823" t="s">
        <v>1504</v>
      </c>
      <c r="K41" s="823" t="s">
        <v>1505</v>
      </c>
      <c r="L41" s="823" t="s">
        <v>1480</v>
      </c>
      <c r="Q41" s="36"/>
      <c r="R41" s="36"/>
      <c r="S41" s="1349"/>
      <c r="T41" s="1213"/>
      <c r="U41" s="181"/>
      <c r="V41" s="1238"/>
      <c r="W41" s="1346"/>
      <c r="X41" s="48" t="s">
        <v>1506</v>
      </c>
      <c r="Y41" s="48" t="s">
        <v>1507</v>
      </c>
      <c r="Z41" s="48" t="s">
        <v>1508</v>
      </c>
      <c r="AA41" s="1219" t="s">
        <v>1509</v>
      </c>
      <c r="AB41" s="1233"/>
      <c r="AC41" s="1355"/>
      <c r="AD41" s="1238"/>
      <c r="AE41" s="1346"/>
      <c r="AF41" s="48" t="s">
        <v>1506</v>
      </c>
      <c r="AG41" s="48" t="s">
        <v>1507</v>
      </c>
      <c r="AH41" s="48" t="s">
        <v>1508</v>
      </c>
      <c r="AI41" s="1219" t="s">
        <v>1509</v>
      </c>
      <c r="AJ41" s="1233"/>
      <c r="AK41" s="1355"/>
      <c r="AL41" s="1358"/>
      <c r="AM41" s="1123"/>
    </row>
    <row r="42" spans="1:44" s="216" customFormat="1" ht="11.25" hidden="1" customHeight="1">
      <c r="A42" s="91"/>
      <c r="B42" s="91"/>
      <c r="C42" s="91"/>
      <c r="D42" s="91"/>
      <c r="E42" s="91"/>
      <c r="F42" s="91"/>
      <c r="G42" s="91"/>
      <c r="H42" s="91"/>
      <c r="I42" s="91"/>
      <c r="J42" s="91"/>
      <c r="K42" s="91"/>
      <c r="L42" s="823"/>
      <c r="M42" s="541"/>
      <c r="N42" s="541"/>
      <c r="O42" s="541"/>
      <c r="P42" s="768"/>
      <c r="Q42" s="769"/>
      <c r="R42" s="777">
        <v>1</v>
      </c>
      <c r="S42" s="795" t="s">
        <v>109</v>
      </c>
      <c r="T42" s="778" t="s">
        <v>110</v>
      </c>
      <c r="U42" s="767" t="str">
        <f ca="1">OFFSET(U42,0,-1)</f>
        <v>2</v>
      </c>
      <c r="V42" s="779">
        <f ca="1">OFFSET(V42,0,-1)+1</f>
        <v>3</v>
      </c>
      <c r="W42" s="779"/>
      <c r="X42" s="779">
        <f ca="1">OFFSET(X42,0,-1)+1</f>
        <v>1</v>
      </c>
      <c r="Y42" s="779">
        <f ca="1">OFFSET(Y42,0,-1)+1</f>
        <v>2</v>
      </c>
      <c r="Z42" s="779">
        <f ca="1">OFFSET(Z42,0,-1)+1</f>
        <v>3</v>
      </c>
      <c r="AA42" s="1347">
        <f ca="1">OFFSET(AA42,0,-1)+1</f>
        <v>4</v>
      </c>
      <c r="AB42" s="1347"/>
      <c r="AC42" s="779">
        <f ca="1">OFFSET(AC42,0,-2)+1</f>
        <v>5</v>
      </c>
      <c r="AD42" s="779">
        <f ca="1">OFFSET(AD42,0,-1)+1</f>
        <v>6</v>
      </c>
      <c r="AE42" s="779"/>
      <c r="AF42" s="779">
        <f ca="1">OFFSET(AF42,0,-1)+1</f>
        <v>1</v>
      </c>
      <c r="AG42" s="779">
        <f ca="1">OFFSET(AG42,0,-1)+1</f>
        <v>2</v>
      </c>
      <c r="AH42" s="779">
        <f ca="1">OFFSET(AH42,0,-1)+1</f>
        <v>3</v>
      </c>
      <c r="AI42" s="1347">
        <f ca="1">OFFSET(AI42,0,-1)+1</f>
        <v>4</v>
      </c>
      <c r="AJ42" s="1347"/>
      <c r="AK42" s="779">
        <f ca="1">OFFSET(AK42,0,-2)+1</f>
        <v>5</v>
      </c>
      <c r="AL42" s="767">
        <f ca="1">OFFSET(AL42,0,-1)</f>
        <v>5</v>
      </c>
      <c r="AM42" s="779">
        <f ca="1">OFFSET(AM42,0,-1)+1</f>
        <v>6</v>
      </c>
      <c r="AN42" s="77"/>
      <c r="AO42" s="77"/>
      <c r="AP42" s="77"/>
      <c r="AQ42" s="77"/>
      <c r="AR42" s="77"/>
    </row>
    <row r="43" spans="1:44" ht="23.25" customHeight="1">
      <c r="A43" s="822" t="s">
        <v>157</v>
      </c>
      <c r="B43" s="822"/>
      <c r="C43" s="822"/>
      <c r="D43" s="822"/>
      <c r="E43" s="1337">
        <v>1</v>
      </c>
      <c r="F43" s="822"/>
      <c r="G43" s="822"/>
      <c r="H43" s="822"/>
      <c r="I43" s="822"/>
      <c r="J43" s="822"/>
      <c r="K43" s="822"/>
      <c r="L43" s="823"/>
      <c r="M43" s="452"/>
      <c r="N43" s="452"/>
      <c r="O43" s="452"/>
      <c r="Q43" s="43"/>
      <c r="R43" s="220"/>
      <c r="S43" s="755">
        <f>INDEX(PT_DIFFERENTIATION_NUM_NTAR,MATCH(A43,PT_DIFFERENTIATION_NTAR_ID,0))</f>
        <v>0</v>
      </c>
      <c r="T43" s="76" t="s">
        <v>124</v>
      </c>
      <c r="U43" s="179"/>
      <c r="V43" s="1331"/>
      <c r="W43" s="1332"/>
      <c r="X43" s="1332"/>
      <c r="Y43" s="1332"/>
      <c r="Z43" s="1332"/>
      <c r="AA43" s="1332"/>
      <c r="AB43" s="1332"/>
      <c r="AC43" s="1333"/>
      <c r="AD43" s="1331" t="str">
        <f>INDEX(PT_DIFFERENTIATION_NTAR,MATCH(A43,PT_DIFFERENTIATION_NTAR_ID,0))</f>
        <v/>
      </c>
      <c r="AE43" s="1332"/>
      <c r="AF43" s="1332"/>
      <c r="AG43" s="1332"/>
      <c r="AH43" s="1332"/>
      <c r="AI43" s="1332"/>
      <c r="AJ43" s="1332"/>
      <c r="AK43" s="1332"/>
      <c r="AL43" s="1333"/>
      <c r="AM43" s="782" t="str">
        <f>"Указывается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9"/>
      <c r="AP43" s="79" t="str">
        <f t="shared" ref="AP43:AP57" si="1">IF(T43="","",T43)</f>
        <v>Наименование тарифа</v>
      </c>
      <c r="AQ43" s="79"/>
      <c r="AR43" s="79"/>
    </row>
    <row r="44" spans="1:44" ht="23.25" customHeight="1">
      <c r="A44" s="822" t="s">
        <v>157</v>
      </c>
      <c r="B44" s="822" t="s">
        <v>158</v>
      </c>
      <c r="C44" s="822"/>
      <c r="D44" s="822"/>
      <c r="E44" s="1338"/>
      <c r="F44" s="1337">
        <v>1</v>
      </c>
      <c r="G44" s="822"/>
      <c r="H44" s="822"/>
      <c r="I44" s="822"/>
      <c r="J44" s="822"/>
      <c r="K44" s="822"/>
      <c r="L44" s="823"/>
      <c r="M44" s="452"/>
      <c r="N44" s="452"/>
      <c r="O44" s="452"/>
      <c r="P44" s="68"/>
      <c r="Q44" s="217"/>
      <c r="R44" s="218"/>
      <c r="S44" s="755" t="str">
        <f>INDEX(PT_DIFFERENTIATION_NUM_TER,MATCH(B44,PT_DIFFERENTIATION_TER_ID,0))</f>
        <v>.</v>
      </c>
      <c r="T44" s="187" t="s">
        <v>1462</v>
      </c>
      <c r="U44" s="179"/>
      <c r="V44" s="1331"/>
      <c r="W44" s="1332"/>
      <c r="X44" s="1332"/>
      <c r="Y44" s="1332"/>
      <c r="Z44" s="1332"/>
      <c r="AA44" s="1332"/>
      <c r="AB44" s="1332"/>
      <c r="AC44" s="1333"/>
      <c r="AD44" s="1331" t="str">
        <f>INDEX(PT_DIFFERENTIATION_TER,MATCH(B44,PT_DIFFERENTIATION_TER_ID,0))</f>
        <v/>
      </c>
      <c r="AE44" s="1332"/>
      <c r="AF44" s="1332"/>
      <c r="AG44" s="1332"/>
      <c r="AH44" s="1332"/>
      <c r="AI44" s="1332"/>
      <c r="AJ44" s="1332"/>
      <c r="AK44" s="1332"/>
      <c r="AL44" s="1333"/>
      <c r="AM44" s="782" t="s">
        <v>1463</v>
      </c>
      <c r="AO44" s="79"/>
      <c r="AP44" s="79" t="str">
        <f t="shared" si="1"/>
        <v>Территория действия тарифа</v>
      </c>
      <c r="AQ44" s="79"/>
      <c r="AR44" s="79"/>
    </row>
    <row r="45" spans="1:44" ht="23.25" customHeight="1">
      <c r="A45" s="822" t="s">
        <v>157</v>
      </c>
      <c r="B45" s="822" t="s">
        <v>158</v>
      </c>
      <c r="C45" s="822" t="s">
        <v>159</v>
      </c>
      <c r="D45" s="822"/>
      <c r="E45" s="1338"/>
      <c r="F45" s="1338"/>
      <c r="G45" s="1337">
        <v>1</v>
      </c>
      <c r="H45" s="822"/>
      <c r="I45" s="822"/>
      <c r="J45" s="822"/>
      <c r="K45" s="822"/>
      <c r="L45" s="823"/>
      <c r="M45" s="452"/>
      <c r="N45" s="452"/>
      <c r="O45" s="452"/>
      <c r="P45" s="219"/>
      <c r="Q45" s="217"/>
      <c r="R45" s="218"/>
      <c r="S45" s="755" t="str">
        <f>INDEX(PT_DIFFERENTIATION_NUM_CS,MATCH(C45,PT_DIFFERENTIATION_CS_ID,0))</f>
        <v>..</v>
      </c>
      <c r="T45" s="188" t="s">
        <v>1464</v>
      </c>
      <c r="U45" s="179"/>
      <c r="V45" s="1331"/>
      <c r="W45" s="1332"/>
      <c r="X45" s="1332"/>
      <c r="Y45" s="1332"/>
      <c r="Z45" s="1332"/>
      <c r="AA45" s="1332"/>
      <c r="AB45" s="1332"/>
      <c r="AC45" s="1333"/>
      <c r="AD45" s="1331" t="str">
        <f>INDEX(PT_DIFFERENTIATION_CS,MATCH(C45,PT_DIFFERENTIATION_CS_ID,0))</f>
        <v/>
      </c>
      <c r="AE45" s="1332"/>
      <c r="AF45" s="1332"/>
      <c r="AG45" s="1332"/>
      <c r="AH45" s="1332"/>
      <c r="AI45" s="1332"/>
      <c r="AJ45" s="1332"/>
      <c r="AK45" s="1332"/>
      <c r="AL45" s="1333"/>
      <c r="AM45" s="782" t="s">
        <v>1465</v>
      </c>
      <c r="AO45" s="79"/>
      <c r="AP45" s="79" t="str">
        <f t="shared" si="1"/>
        <v xml:space="preserve">Наименование системы теплоснабжения </v>
      </c>
      <c r="AQ45" s="79"/>
      <c r="AR45" s="79"/>
    </row>
    <row r="46" spans="1:44" ht="23.25" customHeight="1">
      <c r="A46" s="822" t="s">
        <v>157</v>
      </c>
      <c r="B46" s="822" t="s">
        <v>158</v>
      </c>
      <c r="C46" s="822" t="s">
        <v>159</v>
      </c>
      <c r="D46" s="822" t="s">
        <v>160</v>
      </c>
      <c r="E46" s="1338"/>
      <c r="F46" s="1338"/>
      <c r="G46" s="1338"/>
      <c r="H46" s="1337">
        <v>1</v>
      </c>
      <c r="I46" s="822"/>
      <c r="J46" s="822"/>
      <c r="K46" s="822"/>
      <c r="L46" s="823"/>
      <c r="M46" s="452"/>
      <c r="N46" s="452"/>
      <c r="O46" s="452"/>
      <c r="P46" s="219"/>
      <c r="Q46" s="217"/>
      <c r="R46" s="218"/>
      <c r="S46" s="755" t="str">
        <f>INDEX(PT_DIFFERENTIATION_NUM_IST_TE,MATCH(D46,PT_DIFFERENTIATION_IST_TE_ID,0))</f>
        <v>...</v>
      </c>
      <c r="T46" s="189" t="s">
        <v>1466</v>
      </c>
      <c r="U46" s="179"/>
      <c r="V46" s="1331"/>
      <c r="W46" s="1332"/>
      <c r="X46" s="1332"/>
      <c r="Y46" s="1332"/>
      <c r="Z46" s="1332"/>
      <c r="AA46" s="1332"/>
      <c r="AB46" s="1332"/>
      <c r="AC46" s="1333"/>
      <c r="AD46" s="1331" t="str">
        <f>INDEX(PT_DIFFERENTIATION_IST_TE,MATCH(D46,PT_DIFFERENTIATION_IST_TE_ID,0))</f>
        <v/>
      </c>
      <c r="AE46" s="1332"/>
      <c r="AF46" s="1332"/>
      <c r="AG46" s="1332"/>
      <c r="AH46" s="1332"/>
      <c r="AI46" s="1332"/>
      <c r="AJ46" s="1332"/>
      <c r="AK46" s="1332"/>
      <c r="AL46" s="1333"/>
      <c r="AM46" s="782" t="s">
        <v>1467</v>
      </c>
      <c r="AO46" s="79"/>
      <c r="AP46" s="79" t="str">
        <f t="shared" si="1"/>
        <v xml:space="preserve">Источник тепловой энергии  </v>
      </c>
      <c r="AQ46" s="79"/>
      <c r="AR46" s="79"/>
    </row>
    <row r="47" spans="1:44" ht="47.25" customHeight="1">
      <c r="A47" s="822" t="s">
        <v>157</v>
      </c>
      <c r="B47" s="822" t="s">
        <v>158</v>
      </c>
      <c r="C47" s="822" t="s">
        <v>159</v>
      </c>
      <c r="D47" s="822" t="s">
        <v>160</v>
      </c>
      <c r="E47" s="1338"/>
      <c r="F47" s="1338"/>
      <c r="G47" s="1338"/>
      <c r="H47" s="1338"/>
      <c r="I47" s="1339" t="str">
        <f>S46&amp;".1"</f>
        <v>....1</v>
      </c>
      <c r="J47" s="822"/>
      <c r="K47" s="822"/>
      <c r="L47" s="823" t="s">
        <v>1468</v>
      </c>
      <c r="P47" s="1259">
        <v>1</v>
      </c>
      <c r="Q47" s="127"/>
      <c r="R47" s="221"/>
      <c r="S47" s="755" t="str">
        <f>$I47</f>
        <v>....1</v>
      </c>
      <c r="T47" s="172" t="s">
        <v>1469</v>
      </c>
      <c r="U47" s="179"/>
      <c r="V47" s="1326"/>
      <c r="W47" s="1327"/>
      <c r="X47" s="1327"/>
      <c r="Y47" s="1327"/>
      <c r="Z47" s="1327"/>
      <c r="AA47" s="1327"/>
      <c r="AB47" s="1327"/>
      <c r="AC47" s="1328"/>
      <c r="AD47" s="1326"/>
      <c r="AE47" s="1327"/>
      <c r="AF47" s="1327"/>
      <c r="AG47" s="1327"/>
      <c r="AH47" s="1327"/>
      <c r="AI47" s="1327"/>
      <c r="AJ47" s="1327"/>
      <c r="AK47" s="1327"/>
      <c r="AL47" s="1328"/>
      <c r="AM47" s="782" t="s">
        <v>1470</v>
      </c>
      <c r="AO47" s="79"/>
      <c r="AP47" s="79" t="str">
        <f t="shared" si="1"/>
        <v>Схема подключения теплопотребляющей установки к коллектору источника тепловой энергии</v>
      </c>
      <c r="AQ47" s="79"/>
      <c r="AR47" s="79"/>
    </row>
    <row r="48" spans="1:44" ht="23.25" customHeight="1">
      <c r="A48" s="822" t="s">
        <v>157</v>
      </c>
      <c r="B48" s="822" t="s">
        <v>158</v>
      </c>
      <c r="C48" s="822" t="s">
        <v>159</v>
      </c>
      <c r="D48" s="822" t="s">
        <v>160</v>
      </c>
      <c r="E48" s="1338"/>
      <c r="F48" s="1338"/>
      <c r="G48" s="1338"/>
      <c r="H48" s="1338"/>
      <c r="I48" s="1340"/>
      <c r="J48" s="1339" t="str">
        <f>I47&amp;".1"</f>
        <v>....1.1</v>
      </c>
      <c r="K48" s="822"/>
      <c r="L48" s="823" t="s">
        <v>1471</v>
      </c>
      <c r="P48" s="1259"/>
      <c r="Q48" s="1259">
        <v>1</v>
      </c>
      <c r="R48" s="222"/>
      <c r="S48" s="755" t="str">
        <f>$J48</f>
        <v>....1.1</v>
      </c>
      <c r="T48" s="173" t="s">
        <v>1472</v>
      </c>
      <c r="U48" s="179"/>
      <c r="V48" s="1326"/>
      <c r="W48" s="1327"/>
      <c r="X48" s="1327"/>
      <c r="Y48" s="1327"/>
      <c r="Z48" s="1327"/>
      <c r="AA48" s="1327"/>
      <c r="AB48" s="1327"/>
      <c r="AC48" s="1328"/>
      <c r="AD48" s="1326"/>
      <c r="AE48" s="1327"/>
      <c r="AF48" s="1327"/>
      <c r="AG48" s="1327"/>
      <c r="AH48" s="1327"/>
      <c r="AI48" s="1327"/>
      <c r="AJ48" s="1327"/>
      <c r="AK48" s="1327"/>
      <c r="AL48" s="1328"/>
      <c r="AM48" s="782" t="s">
        <v>1473</v>
      </c>
      <c r="AO48" s="79"/>
      <c r="AP48" s="79" t="str">
        <f t="shared" si="1"/>
        <v>Группа потребителей</v>
      </c>
      <c r="AQ48" s="79"/>
      <c r="AR48" s="79"/>
    </row>
    <row r="49" spans="1:44" ht="23.25" customHeight="1">
      <c r="A49" s="822" t="s">
        <v>157</v>
      </c>
      <c r="B49" s="822" t="s">
        <v>158</v>
      </c>
      <c r="C49" s="822" t="s">
        <v>159</v>
      </c>
      <c r="D49" s="822" t="s">
        <v>160</v>
      </c>
      <c r="E49" s="1338"/>
      <c r="F49" s="1338"/>
      <c r="G49" s="1338"/>
      <c r="H49" s="1338"/>
      <c r="I49" s="1340"/>
      <c r="J49" s="1340"/>
      <c r="K49" s="1339" t="str">
        <f>J48&amp;".1"</f>
        <v>....1.1.1</v>
      </c>
      <c r="L49" s="823" t="s">
        <v>1474</v>
      </c>
      <c r="P49" s="1259"/>
      <c r="Q49" s="1259"/>
      <c r="R49" s="222">
        <v>1</v>
      </c>
      <c r="S49" s="755" t="str">
        <f>$K49</f>
        <v>....1.1.1</v>
      </c>
      <c r="T49" s="821"/>
      <c r="U49" s="179"/>
      <c r="V49" s="1054"/>
      <c r="W49" s="1055"/>
      <c r="X49" s="1054"/>
      <c r="Y49" s="1056"/>
      <c r="Z49" s="1341"/>
      <c r="AA49" s="1133" t="s">
        <v>67</v>
      </c>
      <c r="AB49" s="1341"/>
      <c r="AC49" s="1133" t="s">
        <v>67</v>
      </c>
      <c r="AD49" s="1054"/>
      <c r="AE49" s="1055"/>
      <c r="AF49" s="1054"/>
      <c r="AG49" s="1056"/>
      <c r="AH49" s="1341"/>
      <c r="AI49" s="1133" t="s">
        <v>67</v>
      </c>
      <c r="AJ49" s="1343"/>
      <c r="AK49" s="1133" t="s">
        <v>67</v>
      </c>
      <c r="AL49" s="1060"/>
      <c r="AM49" s="1359" t="s">
        <v>1475</v>
      </c>
      <c r="AN49" s="77" t="e">
        <f ca="1">STRCHECKDATE(V50:AL50)</f>
        <v>#NAME?</v>
      </c>
      <c r="AO49" s="79"/>
      <c r="AP49" s="79" t="str">
        <f t="shared" si="1"/>
        <v/>
      </c>
      <c r="AQ49" s="79"/>
      <c r="AR49" s="79"/>
    </row>
    <row r="50" spans="1:44" ht="0.75" customHeight="1">
      <c r="A50" s="822" t="s">
        <v>157</v>
      </c>
      <c r="B50" s="822" t="s">
        <v>158</v>
      </c>
      <c r="C50" s="822" t="s">
        <v>159</v>
      </c>
      <c r="D50" s="822" t="s">
        <v>160</v>
      </c>
      <c r="E50" s="1338"/>
      <c r="F50" s="1338"/>
      <c r="G50" s="1338"/>
      <c r="H50" s="1338"/>
      <c r="I50" s="1340"/>
      <c r="J50" s="1340"/>
      <c r="K50" s="1339"/>
      <c r="L50" s="823"/>
      <c r="P50" s="1259"/>
      <c r="Q50" s="1259"/>
      <c r="R50" s="222"/>
      <c r="S50" s="74"/>
      <c r="T50" s="179"/>
      <c r="U50" s="179"/>
      <c r="V50" s="1055"/>
      <c r="W50" s="1055"/>
      <c r="X50" s="1055"/>
      <c r="Y50" s="1057" t="str">
        <f>Z49&amp;"-"&amp;AB49</f>
        <v>-</v>
      </c>
      <c r="Z50" s="1342"/>
      <c r="AA50" s="1133"/>
      <c r="AB50" s="1342"/>
      <c r="AC50" s="1133"/>
      <c r="AD50" s="1055"/>
      <c r="AE50" s="1055"/>
      <c r="AF50" s="1055"/>
      <c r="AG50" s="1057" t="str">
        <f>AH49&amp;"-"&amp;AJ49</f>
        <v>-</v>
      </c>
      <c r="AH50" s="1342"/>
      <c r="AI50" s="1133"/>
      <c r="AJ50" s="1344"/>
      <c r="AK50" s="1133"/>
      <c r="AL50" s="1061"/>
      <c r="AM50" s="1360"/>
      <c r="AO50" s="79"/>
      <c r="AP50" s="79" t="str">
        <f t="shared" si="1"/>
        <v/>
      </c>
      <c r="AQ50" s="79"/>
      <c r="AR50" s="79"/>
    </row>
    <row r="51" spans="1:44" ht="11.25" customHeight="1">
      <c r="A51" s="822" t="s">
        <v>157</v>
      </c>
      <c r="B51" s="822" t="s">
        <v>158</v>
      </c>
      <c r="C51" s="822" t="s">
        <v>159</v>
      </c>
      <c r="D51" s="822" t="s">
        <v>160</v>
      </c>
      <c r="E51" s="1338"/>
      <c r="F51" s="1338"/>
      <c r="G51" s="1338"/>
      <c r="H51" s="1338"/>
      <c r="I51" s="1340"/>
      <c r="J51" s="1339"/>
      <c r="K51" s="822"/>
      <c r="L51" s="823"/>
      <c r="P51" s="1259"/>
      <c r="Q51" s="1259"/>
      <c r="R51" s="221"/>
      <c r="S51" s="796"/>
      <c r="T51" s="175" t="s">
        <v>1476</v>
      </c>
      <c r="U51" s="228"/>
      <c r="V51" s="228"/>
      <c r="W51" s="228"/>
      <c r="X51" s="228"/>
      <c r="Y51" s="228"/>
      <c r="Z51" s="228"/>
      <c r="AA51" s="228"/>
      <c r="AB51" s="228"/>
      <c r="AC51" s="228"/>
      <c r="AD51" s="228"/>
      <c r="AE51" s="228"/>
      <c r="AF51" s="228"/>
      <c r="AG51" s="228"/>
      <c r="AH51" s="228"/>
      <c r="AI51" s="228"/>
      <c r="AJ51" s="228"/>
      <c r="AK51" s="228"/>
      <c r="AL51" s="204"/>
      <c r="AM51" s="1361"/>
      <c r="AO51" s="79"/>
      <c r="AP51" s="79" t="str">
        <f t="shared" si="1"/>
        <v>Добавить вид теплоносителя (параметры теплоносителя)</v>
      </c>
      <c r="AQ51" s="79"/>
      <c r="AR51" s="79"/>
    </row>
    <row r="52" spans="1:44" ht="11.25" customHeight="1">
      <c r="A52" s="822" t="s">
        <v>157</v>
      </c>
      <c r="B52" s="822" t="s">
        <v>158</v>
      </c>
      <c r="C52" s="822" t="s">
        <v>159</v>
      </c>
      <c r="D52" s="822" t="s">
        <v>160</v>
      </c>
      <c r="E52" s="1338"/>
      <c r="F52" s="1338"/>
      <c r="G52" s="1338"/>
      <c r="H52" s="1338"/>
      <c r="I52" s="1339"/>
      <c r="J52" s="822"/>
      <c r="K52" s="822"/>
      <c r="L52" s="823"/>
      <c r="P52" s="1259"/>
      <c r="Q52" s="127"/>
      <c r="R52" s="221"/>
      <c r="S52" s="796"/>
      <c r="T52" s="174" t="s">
        <v>1477</v>
      </c>
      <c r="U52" s="228"/>
      <c r="V52" s="228"/>
      <c r="W52" s="228"/>
      <c r="X52" s="228"/>
      <c r="Y52" s="228"/>
      <c r="Z52" s="228"/>
      <c r="AA52" s="228"/>
      <c r="AB52" s="228"/>
      <c r="AC52" s="205"/>
      <c r="AD52" s="228"/>
      <c r="AE52" s="228"/>
      <c r="AF52" s="228"/>
      <c r="AG52" s="228"/>
      <c r="AH52" s="228"/>
      <c r="AI52" s="228"/>
      <c r="AJ52" s="228"/>
      <c r="AK52" s="205"/>
      <c r="AL52" s="228"/>
      <c r="AM52" s="182"/>
      <c r="AO52" s="79"/>
      <c r="AP52" s="79" t="str">
        <f t="shared" si="1"/>
        <v>Добавить группу потребителей</v>
      </c>
      <c r="AQ52" s="79"/>
      <c r="AR52" s="79"/>
    </row>
    <row r="53" spans="1:44" ht="14.25" customHeight="1">
      <c r="A53" s="822" t="s">
        <v>157</v>
      </c>
      <c r="B53" s="822" t="s">
        <v>158</v>
      </c>
      <c r="C53" s="822" t="s">
        <v>159</v>
      </c>
      <c r="D53" s="822" t="s">
        <v>160</v>
      </c>
      <c r="E53" s="1338"/>
      <c r="F53" s="1338"/>
      <c r="G53" s="1338"/>
      <c r="H53" s="1337"/>
      <c r="I53" s="822"/>
      <c r="J53" s="822"/>
      <c r="K53" s="822"/>
      <c r="L53" s="823"/>
      <c r="M53" s="452"/>
      <c r="N53" s="452"/>
      <c r="O53" s="72"/>
      <c r="P53" s="43"/>
      <c r="Q53" s="231"/>
      <c r="R53" s="220"/>
      <c r="S53" s="796"/>
      <c r="T53" s="226" t="s">
        <v>1478</v>
      </c>
      <c r="U53" s="228"/>
      <c r="V53" s="228"/>
      <c r="W53" s="228"/>
      <c r="X53" s="228"/>
      <c r="Y53" s="228"/>
      <c r="Z53" s="228"/>
      <c r="AA53" s="228"/>
      <c r="AB53" s="228"/>
      <c r="AC53" s="205"/>
      <c r="AD53" s="228"/>
      <c r="AE53" s="228"/>
      <c r="AF53" s="228"/>
      <c r="AG53" s="228"/>
      <c r="AH53" s="228"/>
      <c r="AI53" s="228"/>
      <c r="AJ53" s="228"/>
      <c r="AK53" s="205"/>
      <c r="AL53" s="228"/>
      <c r="AM53" s="182"/>
      <c r="AO53" s="79"/>
      <c r="AP53" s="79" t="str">
        <f t="shared" si="1"/>
        <v>Добавить схему подключения</v>
      </c>
      <c r="AQ53" s="79"/>
      <c r="AR53" s="79"/>
    </row>
    <row r="54" spans="1:44" s="77" customFormat="1" ht="0.75" customHeight="1">
      <c r="A54" s="150" t="s">
        <v>157</v>
      </c>
      <c r="B54" s="150" t="s">
        <v>158</v>
      </c>
      <c r="C54" s="150" t="s">
        <v>159</v>
      </c>
      <c r="D54" s="150"/>
      <c r="E54" s="1338"/>
      <c r="F54" s="1338"/>
      <c r="G54" s="1337"/>
      <c r="H54" s="150"/>
      <c r="I54" s="150"/>
      <c r="J54" s="150"/>
      <c r="K54" s="150"/>
      <c r="L54" s="373"/>
      <c r="M54" s="318"/>
      <c r="N54" s="318"/>
      <c r="P54" s="111"/>
      <c r="Q54" s="811"/>
      <c r="R54" s="111"/>
      <c r="S54" s="816"/>
      <c r="T54" s="818" t="s">
        <v>1437</v>
      </c>
      <c r="U54" s="338"/>
      <c r="V54" s="338"/>
      <c r="W54" s="338"/>
      <c r="X54" s="338"/>
      <c r="Y54" s="338"/>
      <c r="Z54" s="338"/>
      <c r="AA54" s="338"/>
      <c r="AB54" s="338"/>
      <c r="AC54" s="338"/>
      <c r="AD54" s="338"/>
      <c r="AE54" s="338"/>
      <c r="AF54" s="338"/>
      <c r="AG54" s="338"/>
      <c r="AH54" s="338"/>
      <c r="AI54" s="338"/>
      <c r="AJ54" s="338"/>
      <c r="AK54" s="338"/>
      <c r="AL54" s="338"/>
      <c r="AM54" s="338"/>
      <c r="AO54" s="79"/>
      <c r="AP54" s="79" t="str">
        <f t="shared" si="1"/>
        <v>Добавить источник для дифференциации</v>
      </c>
      <c r="AQ54" s="79"/>
      <c r="AR54" s="79"/>
    </row>
    <row r="55" spans="1:44" s="77" customFormat="1" ht="0.75" customHeight="1">
      <c r="A55" s="150" t="s">
        <v>157</v>
      </c>
      <c r="B55" s="150" t="s">
        <v>158</v>
      </c>
      <c r="C55" s="150"/>
      <c r="D55" s="150"/>
      <c r="E55" s="1338"/>
      <c r="F55" s="1337"/>
      <c r="G55" s="150"/>
      <c r="H55" s="150"/>
      <c r="I55" s="150"/>
      <c r="J55" s="150"/>
      <c r="K55" s="150"/>
      <c r="L55" s="373"/>
      <c r="M55" s="815"/>
      <c r="N55" s="815"/>
      <c r="P55" s="111"/>
      <c r="Q55" s="811"/>
      <c r="R55" s="111"/>
      <c r="S55" s="816"/>
      <c r="T55" s="818" t="s">
        <v>1438</v>
      </c>
      <c r="U55" s="338"/>
      <c r="V55" s="338"/>
      <c r="W55" s="338"/>
      <c r="X55" s="338"/>
      <c r="Y55" s="338"/>
      <c r="Z55" s="338"/>
      <c r="AA55" s="338"/>
      <c r="AB55" s="338"/>
      <c r="AC55" s="338"/>
      <c r="AD55" s="338"/>
      <c r="AE55" s="338"/>
      <c r="AF55" s="338"/>
      <c r="AG55" s="338"/>
      <c r="AH55" s="338"/>
      <c r="AI55" s="338"/>
      <c r="AJ55" s="338"/>
      <c r="AK55" s="338"/>
      <c r="AL55" s="338"/>
      <c r="AM55" s="338"/>
      <c r="AO55" s="79"/>
      <c r="AP55" s="79" t="str">
        <f t="shared" si="1"/>
        <v>Добавить централизованную систему для дифференциации</v>
      </c>
      <c r="AQ55" s="79"/>
      <c r="AR55" s="79"/>
    </row>
    <row r="56" spans="1:44" s="77" customFormat="1" ht="0.75" customHeight="1">
      <c r="A56" s="150" t="s">
        <v>157</v>
      </c>
      <c r="B56" s="150"/>
      <c r="C56" s="150"/>
      <c r="D56" s="150"/>
      <c r="E56" s="1337"/>
      <c r="F56" s="150"/>
      <c r="G56" s="150"/>
      <c r="H56" s="150"/>
      <c r="I56" s="150"/>
      <c r="J56" s="150"/>
      <c r="K56" s="150"/>
      <c r="L56" s="373"/>
      <c r="M56" s="815"/>
      <c r="N56" s="815"/>
      <c r="P56" s="111"/>
      <c r="Q56" s="811"/>
      <c r="R56" s="111"/>
      <c r="S56" s="816"/>
      <c r="T56" s="818" t="s">
        <v>1439</v>
      </c>
      <c r="U56" s="338"/>
      <c r="V56" s="338"/>
      <c r="W56" s="338"/>
      <c r="X56" s="338"/>
      <c r="Y56" s="338"/>
      <c r="Z56" s="338"/>
      <c r="AA56" s="338"/>
      <c r="AB56" s="338"/>
      <c r="AC56" s="338"/>
      <c r="AD56" s="338"/>
      <c r="AE56" s="338"/>
      <c r="AF56" s="338"/>
      <c r="AG56" s="338"/>
      <c r="AH56" s="338"/>
      <c r="AI56" s="338"/>
      <c r="AJ56" s="338"/>
      <c r="AK56" s="338"/>
      <c r="AL56" s="338"/>
      <c r="AM56" s="338"/>
      <c r="AO56" s="79"/>
      <c r="AP56" s="79" t="str">
        <f t="shared" si="1"/>
        <v>Добавить территорию для дифференциации</v>
      </c>
      <c r="AQ56" s="79"/>
      <c r="AR56" s="79"/>
    </row>
    <row r="57" spans="1:44" s="77" customFormat="1" ht="0.75" customHeight="1">
      <c r="A57" s="150"/>
      <c r="B57" s="150"/>
      <c r="C57" s="150"/>
      <c r="D57" s="150"/>
      <c r="E57" s="150"/>
      <c r="F57" s="150"/>
      <c r="G57" s="150"/>
      <c r="H57" s="150"/>
      <c r="I57" s="150"/>
      <c r="J57" s="150"/>
      <c r="K57" s="150"/>
      <c r="L57" s="373"/>
      <c r="M57" s="815"/>
      <c r="N57" s="815"/>
      <c r="P57" s="111"/>
      <c r="Q57" s="811"/>
      <c r="R57" s="111"/>
      <c r="S57" s="816"/>
      <c r="T57" s="818" t="s">
        <v>1440</v>
      </c>
      <c r="U57" s="338"/>
      <c r="V57" s="338"/>
      <c r="W57" s="338"/>
      <c r="X57" s="338"/>
      <c r="Y57" s="338"/>
      <c r="Z57" s="338"/>
      <c r="AA57" s="338"/>
      <c r="AB57" s="338"/>
      <c r="AC57" s="338"/>
      <c r="AD57" s="338"/>
      <c r="AE57" s="338"/>
      <c r="AF57" s="338"/>
      <c r="AG57" s="338"/>
      <c r="AH57" s="338"/>
      <c r="AI57" s="338"/>
      <c r="AJ57" s="338"/>
      <c r="AK57" s="338"/>
      <c r="AL57" s="338"/>
      <c r="AM57" s="338"/>
      <c r="AO57" s="79"/>
      <c r="AP57" s="79" t="str">
        <f t="shared" si="1"/>
        <v>Добавить наименование тарифа</v>
      </c>
      <c r="AQ57" s="79"/>
      <c r="AR57" s="79"/>
    </row>
    <row r="58" spans="1:44" ht="11.25" hidden="1" customHeight="1">
      <c r="M58" s="72"/>
      <c r="N58" s="72"/>
      <c r="O58" s="72"/>
      <c r="P58" s="24"/>
      <c r="Q58" s="24"/>
      <c r="R58" s="24"/>
      <c r="S58" s="24"/>
      <c r="AN58" s="24"/>
      <c r="AO58" s="24"/>
      <c r="AP58" s="24"/>
      <c r="AQ58" s="24"/>
      <c r="AR58" s="24"/>
    </row>
    <row r="59" spans="1:44" ht="27" hidden="1" customHeight="1">
      <c r="O59" s="72"/>
      <c r="S59" s="210" t="s">
        <v>1510</v>
      </c>
      <c r="T59" s="1336" t="s">
        <v>1511</v>
      </c>
      <c r="U59" s="1336"/>
      <c r="V59" s="1336"/>
      <c r="W59" s="1336"/>
      <c r="X59" s="1336"/>
      <c r="Y59" s="1336"/>
      <c r="Z59" s="1336"/>
      <c r="AA59" s="1336"/>
      <c r="AB59" s="1336"/>
      <c r="AC59" s="1336"/>
      <c r="AD59" s="1336"/>
      <c r="AE59" s="1336"/>
      <c r="AF59" s="1336"/>
      <c r="AG59" s="1336"/>
      <c r="AH59" s="1336"/>
      <c r="AI59" s="1336"/>
      <c r="AJ59" s="1336"/>
      <c r="AK59" s="1336"/>
      <c r="AL59" s="1336"/>
      <c r="AM59" s="1336"/>
    </row>
    <row r="60" spans="1:44" ht="64.5" hidden="1" customHeight="1">
      <c r="O60" s="72"/>
      <c r="T60" s="1336" t="s">
        <v>1512</v>
      </c>
      <c r="U60" s="1336"/>
      <c r="V60" s="1336"/>
      <c r="W60" s="1336"/>
      <c r="X60" s="1336"/>
      <c r="Y60" s="1336"/>
      <c r="Z60" s="1336"/>
      <c r="AA60" s="1336"/>
      <c r="AB60" s="1336"/>
      <c r="AC60" s="1336"/>
      <c r="AD60" s="1336"/>
      <c r="AE60" s="1336"/>
      <c r="AF60" s="1336"/>
      <c r="AG60" s="1336"/>
      <c r="AH60" s="1336"/>
      <c r="AI60" s="1336"/>
      <c r="AJ60" s="1336"/>
      <c r="AK60" s="1336"/>
      <c r="AL60" s="1336"/>
      <c r="AM60" s="1336"/>
    </row>
    <row r="61" spans="1:44" ht="14.25" hidden="1" customHeight="1">
      <c r="O61" s="72"/>
    </row>
    <row r="62" spans="1:44" ht="18" hidden="1" customHeight="1">
      <c r="O62" s="72"/>
      <c r="S62" s="210" t="s">
        <v>1510</v>
      </c>
      <c r="T62" s="1336" t="s">
        <v>1513</v>
      </c>
      <c r="U62" s="1336"/>
      <c r="V62" s="1336"/>
      <c r="W62" s="1336"/>
      <c r="X62" s="1336"/>
      <c r="Y62" s="1336"/>
      <c r="Z62" s="1336"/>
      <c r="AA62" s="1336"/>
      <c r="AB62" s="1336"/>
      <c r="AC62" s="1336"/>
      <c r="AD62" s="1336"/>
      <c r="AE62" s="1336"/>
      <c r="AF62" s="1336"/>
      <c r="AG62" s="1336"/>
      <c r="AH62" s="1336"/>
      <c r="AI62" s="1336"/>
      <c r="AJ62" s="1336"/>
      <c r="AK62" s="1336"/>
      <c r="AL62" s="1336"/>
      <c r="AM62" s="1336"/>
    </row>
    <row r="63" spans="1:44" ht="18" hidden="1" customHeight="1">
      <c r="O63" s="72"/>
      <c r="T63" s="1336" t="s">
        <v>1514</v>
      </c>
      <c r="U63" s="1336"/>
      <c r="V63" s="1336"/>
      <c r="W63" s="1336"/>
      <c r="X63" s="1336"/>
      <c r="Y63" s="1336"/>
      <c r="Z63" s="1336"/>
      <c r="AA63" s="1336"/>
      <c r="AB63" s="1336"/>
      <c r="AC63" s="1336"/>
      <c r="AD63" s="1336"/>
      <c r="AE63" s="1336"/>
      <c r="AF63" s="1336"/>
      <c r="AG63" s="1336"/>
      <c r="AH63" s="1336"/>
      <c r="AI63" s="1336"/>
      <c r="AJ63" s="1336"/>
      <c r="AK63" s="1336"/>
      <c r="AL63" s="1336"/>
      <c r="AM63" s="1336"/>
    </row>
    <row r="64" spans="1:44" ht="27.75" hidden="1" customHeight="1">
      <c r="O64" s="72"/>
      <c r="S64" s="210"/>
      <c r="T64" s="1336" t="s">
        <v>1515</v>
      </c>
      <c r="U64" s="1336"/>
      <c r="V64" s="1336"/>
      <c r="W64" s="1336"/>
      <c r="X64" s="1336"/>
      <c r="Y64" s="1336"/>
      <c r="Z64" s="1336"/>
      <c r="AA64" s="1336"/>
      <c r="AB64" s="1336"/>
      <c r="AC64" s="1336"/>
      <c r="AD64" s="1336"/>
      <c r="AE64" s="1336"/>
      <c r="AF64" s="1336"/>
      <c r="AG64" s="1336"/>
      <c r="AH64" s="1336"/>
      <c r="AI64" s="1336"/>
      <c r="AJ64" s="1336"/>
      <c r="AK64" s="1336"/>
      <c r="AL64" s="1336"/>
      <c r="AM64" s="1336"/>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1000000}">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F00-000002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F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77610A-AB15-9DA6-3F37-D06F8DAE6EC2}">
  <sheetPr>
    <tabColor theme="6" tint="0.39997558519241921"/>
  </sheetPr>
  <dimension ref="A1:AR64"/>
  <sheetViews>
    <sheetView showGridLines="0" topLeftCell="P25" zoomScale="90" workbookViewId="0"/>
  </sheetViews>
  <sheetFormatPr defaultColWidth="10.5703125" defaultRowHeight="14.25" customHeight="1"/>
  <cols>
    <col min="1" max="1" width="10.5703125" style="72" hidden="1"/>
    <col min="2" max="2" width="11" style="72" hidden="1" customWidth="1"/>
    <col min="3" max="3" width="10.5703125" style="72" hidden="1"/>
    <col min="4" max="4" width="11.85546875" style="72" hidden="1" customWidth="1"/>
    <col min="5" max="5" width="10" style="72" hidden="1" customWidth="1"/>
    <col min="6" max="6" width="8.7109375" style="72" hidden="1" customWidth="1"/>
    <col min="7" max="7" width="7.5703125" style="72" hidden="1" customWidth="1"/>
    <col min="8" max="8" width="11.42578125" style="72" hidden="1" customWidth="1"/>
    <col min="9" max="9" width="12" style="72" hidden="1" customWidth="1"/>
    <col min="10" max="10" width="9.85546875" style="72" hidden="1" customWidth="1"/>
    <col min="11" max="11" width="11.42578125" style="72" hidden="1" customWidth="1"/>
    <col min="12" max="12" width="19.140625" style="388" hidden="1" customWidth="1"/>
    <col min="13" max="14" width="12.28515625" style="541" hidden="1" customWidth="1"/>
    <col min="15" max="15" width="23.42578125" style="541" hidden="1" customWidth="1"/>
    <col min="16" max="16" width="3.7109375" style="42" customWidth="1"/>
    <col min="17" max="18" width="3.7109375" style="37" customWidth="1"/>
    <col min="19" max="19" width="12.7109375" style="368" customWidth="1"/>
    <col min="20" max="20" width="32" style="24" customWidth="1"/>
    <col min="21" max="21" width="0.140625" style="24" customWidth="1"/>
    <col min="22" max="22" width="24.7109375" style="24" hidden="1" customWidth="1"/>
    <col min="23" max="23" width="0.140625" style="24" hidden="1" customWidth="1"/>
    <col min="24" max="25" width="24.7109375" style="24" hidden="1" customWidth="1"/>
    <col min="26" max="26" width="11.7109375" style="24" hidden="1" customWidth="1"/>
    <col min="27" max="27" width="3.7109375" style="24" hidden="1" customWidth="1"/>
    <col min="28" max="28" width="11.7109375" style="24" hidden="1" customWidth="1"/>
    <col min="29" max="29" width="8.5703125" style="24" hidden="1" customWidth="1"/>
    <col min="30" max="30" width="24.7109375" style="24" customWidth="1"/>
    <col min="31" max="31" width="0.140625" style="24" customWidth="1"/>
    <col min="32" max="33" width="24.7109375" style="24" customWidth="1"/>
    <col min="34" max="34" width="11.7109375" style="24" customWidth="1"/>
    <col min="35" max="35" width="3.7109375" style="24" customWidth="1"/>
    <col min="36" max="36" width="11.7109375" style="24" customWidth="1"/>
    <col min="37" max="37" width="8.5703125" style="24" hidden="1" customWidth="1"/>
    <col min="38" max="38" width="4.7109375" style="24" customWidth="1"/>
    <col min="39" max="39" width="115.7109375" style="24" customWidth="1"/>
    <col min="40" max="41" width="10.5703125" style="77"/>
    <col min="42" max="42" width="11.140625" style="77" customWidth="1"/>
    <col min="43" max="44" width="10.5703125" style="77"/>
  </cols>
  <sheetData>
    <row r="1" spans="1:44" ht="14.25" hidden="1" customHeight="1"/>
    <row r="2" spans="1:44" ht="21" hidden="1" customHeight="1">
      <c r="A2" s="822"/>
      <c r="B2" s="822"/>
      <c r="C2" s="822"/>
      <c r="D2" s="822"/>
      <c r="E2" s="1337">
        <v>1</v>
      </c>
      <c r="F2" s="822"/>
      <c r="G2" s="822"/>
      <c r="H2" s="822"/>
      <c r="I2" s="822"/>
      <c r="J2" s="822"/>
      <c r="K2" s="822"/>
      <c r="L2" s="823"/>
      <c r="M2" s="452"/>
      <c r="N2" s="452"/>
      <c r="O2" s="452"/>
      <c r="Q2" s="43"/>
      <c r="R2" s="220"/>
      <c r="S2" s="755" t="e">
        <f>INDEX(PT_DIFFERENTIATION_NUM_NTAR,MATCH(A2,PT_DIFFERENTIATION_NTAR_ID,0))</f>
        <v>#N/A</v>
      </c>
      <c r="T2" s="76" t="s">
        <v>124</v>
      </c>
      <c r="U2" s="179"/>
      <c r="V2" s="1331"/>
      <c r="W2" s="1332"/>
      <c r="X2" s="1332"/>
      <c r="Y2" s="1332"/>
      <c r="Z2" s="1332"/>
      <c r="AA2" s="1332"/>
      <c r="AB2" s="1332"/>
      <c r="AC2" s="1333"/>
      <c r="AD2" s="1331" t="e">
        <f>INDEX(PT_DIFFERENTIATION_NTAR,MATCH(A2,PT_DIFFERENTIATION_NTAR_ID,0))</f>
        <v>#N/A</v>
      </c>
      <c r="AE2" s="1332"/>
      <c r="AF2" s="1332"/>
      <c r="AG2" s="1332"/>
      <c r="AH2" s="1332"/>
      <c r="AI2" s="1332"/>
      <c r="AJ2" s="1332"/>
      <c r="AK2" s="1332"/>
      <c r="AL2" s="1333"/>
      <c r="AM2" s="782" t="s">
        <v>1461</v>
      </c>
      <c r="AO2" s="79"/>
      <c r="AP2" s="79" t="str">
        <f t="shared" ref="AP2:AP15" si="0">IF(T2="","",T2)</f>
        <v>Наименование тарифа</v>
      </c>
      <c r="AQ2" s="79"/>
      <c r="AR2" s="79"/>
    </row>
    <row r="3" spans="1:44" ht="21" hidden="1" customHeight="1">
      <c r="A3" s="822"/>
      <c r="B3" s="822"/>
      <c r="C3" s="822"/>
      <c r="D3" s="822"/>
      <c r="E3" s="1338"/>
      <c r="F3" s="1337">
        <v>1</v>
      </c>
      <c r="G3" s="822"/>
      <c r="H3" s="822"/>
      <c r="I3" s="822"/>
      <c r="J3" s="822"/>
      <c r="K3" s="822"/>
      <c r="L3" s="823"/>
      <c r="M3" s="452"/>
      <c r="N3" s="452"/>
      <c r="O3" s="452"/>
      <c r="P3" s="68"/>
      <c r="Q3" s="217"/>
      <c r="R3" s="218"/>
      <c r="S3" s="755" t="e">
        <f>INDEX(PT_DIFFERENTIATION_NUM_TER,MATCH(B3,PT_DIFFERENTIATION_TER_ID,0))</f>
        <v>#N/A</v>
      </c>
      <c r="T3" s="187" t="s">
        <v>1462</v>
      </c>
      <c r="U3" s="179"/>
      <c r="V3" s="1331"/>
      <c r="W3" s="1332"/>
      <c r="X3" s="1332"/>
      <c r="Y3" s="1332"/>
      <c r="Z3" s="1332"/>
      <c r="AA3" s="1332"/>
      <c r="AB3" s="1332"/>
      <c r="AC3" s="1333"/>
      <c r="AD3" s="1331" t="e">
        <f>INDEX(PT_DIFFERENTIATION_TER,MATCH(B3,PT_DIFFERENTIATION_TER_ID,0))</f>
        <v>#N/A</v>
      </c>
      <c r="AE3" s="1332"/>
      <c r="AF3" s="1332"/>
      <c r="AG3" s="1332"/>
      <c r="AH3" s="1332"/>
      <c r="AI3" s="1332"/>
      <c r="AJ3" s="1332"/>
      <c r="AK3" s="1332"/>
      <c r="AL3" s="1333"/>
      <c r="AM3" s="782" t="s">
        <v>1463</v>
      </c>
      <c r="AO3" s="79"/>
      <c r="AP3" s="79" t="str">
        <f t="shared" si="0"/>
        <v>Территория действия тарифа</v>
      </c>
      <c r="AQ3" s="79"/>
      <c r="AR3" s="79"/>
    </row>
    <row r="4" spans="1:44" ht="23.25" hidden="1" customHeight="1">
      <c r="A4" s="822"/>
      <c r="B4" s="822"/>
      <c r="C4" s="822"/>
      <c r="D4" s="822"/>
      <c r="E4" s="1338"/>
      <c r="F4" s="1338"/>
      <c r="G4" s="1337">
        <v>1</v>
      </c>
      <c r="H4" s="822"/>
      <c r="I4" s="822"/>
      <c r="J4" s="822"/>
      <c r="K4" s="822"/>
      <c r="L4" s="823"/>
      <c r="M4" s="452"/>
      <c r="N4" s="452"/>
      <c r="O4" s="452"/>
      <c r="P4" s="219"/>
      <c r="Q4" s="217"/>
      <c r="R4" s="218"/>
      <c r="S4" s="755" t="e">
        <f>INDEX(PT_DIFFERENTIATION_NUM_CS,MATCH(C4,PT_DIFFERENTIATION_CS_ID,0))</f>
        <v>#N/A</v>
      </c>
      <c r="T4" s="188" t="s">
        <v>1464</v>
      </c>
      <c r="U4" s="179"/>
      <c r="V4" s="1331"/>
      <c r="W4" s="1332"/>
      <c r="X4" s="1332"/>
      <c r="Y4" s="1332"/>
      <c r="Z4" s="1332"/>
      <c r="AA4" s="1332"/>
      <c r="AB4" s="1332"/>
      <c r="AC4" s="1333"/>
      <c r="AD4" s="1331" t="e">
        <f>INDEX(PT_DIFFERENTIATION_CS,MATCH(C4,PT_DIFFERENTIATION_CS_ID,0))</f>
        <v>#N/A</v>
      </c>
      <c r="AE4" s="1332"/>
      <c r="AF4" s="1332"/>
      <c r="AG4" s="1332"/>
      <c r="AH4" s="1332"/>
      <c r="AI4" s="1332"/>
      <c r="AJ4" s="1332"/>
      <c r="AK4" s="1332"/>
      <c r="AL4" s="1333"/>
      <c r="AM4" s="782" t="s">
        <v>1465</v>
      </c>
      <c r="AO4" s="79"/>
      <c r="AP4" s="79" t="str">
        <f t="shared" si="0"/>
        <v xml:space="preserve">Наименование системы теплоснабжения </v>
      </c>
      <c r="AQ4" s="79"/>
      <c r="AR4" s="79"/>
    </row>
    <row r="5" spans="1:44" ht="21" hidden="1" customHeight="1">
      <c r="A5" s="822"/>
      <c r="B5" s="822"/>
      <c r="C5" s="822"/>
      <c r="D5" s="822"/>
      <c r="E5" s="1338"/>
      <c r="F5" s="1338"/>
      <c r="G5" s="1338"/>
      <c r="H5" s="1337">
        <v>1</v>
      </c>
      <c r="I5" s="822"/>
      <c r="J5" s="822"/>
      <c r="K5" s="822"/>
      <c r="L5" s="823"/>
      <c r="M5" s="452"/>
      <c r="N5" s="452"/>
      <c r="O5" s="452"/>
      <c r="P5" s="219"/>
      <c r="Q5" s="217"/>
      <c r="R5" s="218"/>
      <c r="S5" s="755" t="e">
        <f>INDEX(PT_DIFFERENTIATION_NUM_IST_TE,MATCH(D5,PT_DIFFERENTIATION_IST_TE_ID,0))</f>
        <v>#N/A</v>
      </c>
      <c r="T5" s="189" t="s">
        <v>1466</v>
      </c>
      <c r="U5" s="179"/>
      <c r="V5" s="1331"/>
      <c r="W5" s="1332"/>
      <c r="X5" s="1332"/>
      <c r="Y5" s="1332"/>
      <c r="Z5" s="1332"/>
      <c r="AA5" s="1332"/>
      <c r="AB5" s="1332"/>
      <c r="AC5" s="1333"/>
      <c r="AD5" s="1331" t="e">
        <f>INDEX(PT_DIFFERENTIATION_IST_TE,MATCH(D5,PT_DIFFERENTIATION_IST_TE_ID,0))</f>
        <v>#N/A</v>
      </c>
      <c r="AE5" s="1332"/>
      <c r="AF5" s="1332"/>
      <c r="AG5" s="1332"/>
      <c r="AH5" s="1332"/>
      <c r="AI5" s="1332"/>
      <c r="AJ5" s="1332"/>
      <c r="AK5" s="1332"/>
      <c r="AL5" s="1333"/>
      <c r="AM5" s="782" t="s">
        <v>1467</v>
      </c>
      <c r="AO5" s="79"/>
      <c r="AP5" s="79" t="str">
        <f t="shared" si="0"/>
        <v xml:space="preserve">Источник тепловой энергии  </v>
      </c>
      <c r="AQ5" s="79"/>
      <c r="AR5" s="79"/>
    </row>
    <row r="6" spans="1:44" ht="47.25" hidden="1" customHeight="1">
      <c r="A6" s="822"/>
      <c r="B6" s="822"/>
      <c r="C6" s="822"/>
      <c r="D6" s="822"/>
      <c r="E6" s="1338"/>
      <c r="F6" s="1338"/>
      <c r="G6" s="1338"/>
      <c r="H6" s="1338"/>
      <c r="I6" s="1339" t="e">
        <f>S5&amp;".1"</f>
        <v>#N/A</v>
      </c>
      <c r="J6" s="822"/>
      <c r="K6" s="822"/>
      <c r="L6" s="823" t="s">
        <v>1468</v>
      </c>
      <c r="M6" s="72"/>
      <c r="P6" s="1259">
        <v>1</v>
      </c>
      <c r="Q6" s="127"/>
      <c r="R6" s="221"/>
      <c r="S6" s="755" t="e">
        <f>$I6</f>
        <v>#N/A</v>
      </c>
      <c r="T6" s="172" t="s">
        <v>1469</v>
      </c>
      <c r="U6" s="179"/>
      <c r="V6" s="1326"/>
      <c r="W6" s="1327"/>
      <c r="X6" s="1327"/>
      <c r="Y6" s="1327"/>
      <c r="Z6" s="1327"/>
      <c r="AA6" s="1327"/>
      <c r="AB6" s="1327"/>
      <c r="AC6" s="1328"/>
      <c r="AD6" s="1326"/>
      <c r="AE6" s="1327"/>
      <c r="AF6" s="1327"/>
      <c r="AG6" s="1327"/>
      <c r="AH6" s="1327"/>
      <c r="AI6" s="1327"/>
      <c r="AJ6" s="1327"/>
      <c r="AK6" s="1327"/>
      <c r="AL6" s="1328"/>
      <c r="AM6" s="782" t="s">
        <v>1470</v>
      </c>
      <c r="AO6" s="79"/>
      <c r="AP6" s="79" t="str">
        <f t="shared" si="0"/>
        <v>Схема подключения теплопотребляющей установки к коллектору источника тепловой энергии</v>
      </c>
      <c r="AQ6" s="79"/>
      <c r="AR6" s="79"/>
    </row>
    <row r="7" spans="1:44" ht="21" hidden="1" customHeight="1">
      <c r="A7" s="822"/>
      <c r="B7" s="822"/>
      <c r="C7" s="822"/>
      <c r="D7" s="822"/>
      <c r="E7" s="1338"/>
      <c r="F7" s="1338"/>
      <c r="G7" s="1338"/>
      <c r="H7" s="1338"/>
      <c r="I7" s="1340"/>
      <c r="J7" s="1339" t="e">
        <f>I6&amp;".1"</f>
        <v>#N/A</v>
      </c>
      <c r="K7" s="822"/>
      <c r="L7" s="823" t="s">
        <v>1471</v>
      </c>
      <c r="M7" s="72"/>
      <c r="N7" s="72"/>
      <c r="P7" s="1259"/>
      <c r="Q7" s="1259">
        <v>1</v>
      </c>
      <c r="R7" s="222"/>
      <c r="S7" s="755" t="e">
        <f>$J7</f>
        <v>#N/A</v>
      </c>
      <c r="T7" s="173" t="s">
        <v>1472</v>
      </c>
      <c r="U7" s="179"/>
      <c r="V7" s="1326"/>
      <c r="W7" s="1327"/>
      <c r="X7" s="1327"/>
      <c r="Y7" s="1327"/>
      <c r="Z7" s="1327"/>
      <c r="AA7" s="1327"/>
      <c r="AB7" s="1327"/>
      <c r="AC7" s="1328"/>
      <c r="AD7" s="1326"/>
      <c r="AE7" s="1327"/>
      <c r="AF7" s="1327"/>
      <c r="AG7" s="1327"/>
      <c r="AH7" s="1327"/>
      <c r="AI7" s="1327"/>
      <c r="AJ7" s="1327"/>
      <c r="AK7" s="1327"/>
      <c r="AL7" s="1328"/>
      <c r="AM7" s="782" t="s">
        <v>1473</v>
      </c>
      <c r="AO7" s="79"/>
      <c r="AP7" s="79" t="str">
        <f t="shared" si="0"/>
        <v>Группа потребителей</v>
      </c>
      <c r="AQ7" s="79"/>
      <c r="AR7" s="79"/>
    </row>
    <row r="8" spans="1:44" ht="21" hidden="1" customHeight="1">
      <c r="A8" s="822"/>
      <c r="B8" s="822"/>
      <c r="C8" s="822"/>
      <c r="D8" s="822"/>
      <c r="E8" s="1338"/>
      <c r="F8" s="1338"/>
      <c r="G8" s="1338"/>
      <c r="H8" s="1338"/>
      <c r="I8" s="1340"/>
      <c r="J8" s="1340"/>
      <c r="K8" s="1339" t="e">
        <f>J7&amp;".1"</f>
        <v>#N/A</v>
      </c>
      <c r="L8" s="823" t="s">
        <v>1474</v>
      </c>
      <c r="M8" s="72"/>
      <c r="N8" s="72"/>
      <c r="O8" s="72"/>
      <c r="P8" s="1259"/>
      <c r="Q8" s="1259"/>
      <c r="R8" s="222">
        <v>1</v>
      </c>
      <c r="S8" s="755" t="e">
        <f>$K8</f>
        <v>#N/A</v>
      </c>
      <c r="T8" s="821"/>
      <c r="U8" s="179"/>
      <c r="V8" s="1054"/>
      <c r="W8" s="1055"/>
      <c r="X8" s="1054"/>
      <c r="Y8" s="1056"/>
      <c r="Z8" s="1341"/>
      <c r="AA8" s="1133" t="s">
        <v>67</v>
      </c>
      <c r="AB8" s="1341"/>
      <c r="AC8" s="1133" t="s">
        <v>67</v>
      </c>
      <c r="AD8" s="1054"/>
      <c r="AE8" s="1055"/>
      <c r="AF8" s="1054"/>
      <c r="AG8" s="1056"/>
      <c r="AH8" s="1341"/>
      <c r="AI8" s="1133" t="s">
        <v>67</v>
      </c>
      <c r="AJ8" s="1341"/>
      <c r="AK8" s="1133" t="s">
        <v>67</v>
      </c>
      <c r="AL8" s="1055"/>
      <c r="AM8" s="1359" t="s">
        <v>1475</v>
      </c>
      <c r="AN8" s="77" t="e">
        <f ca="1">STRCHECKDATE(V9:AL9)</f>
        <v>#NAME?</v>
      </c>
      <c r="AO8" s="79"/>
      <c r="AP8" s="79" t="str">
        <f t="shared" si="0"/>
        <v/>
      </c>
      <c r="AQ8" s="79"/>
      <c r="AR8" s="79"/>
    </row>
    <row r="9" spans="1:44" ht="0.75" hidden="1" customHeight="1">
      <c r="A9" s="822"/>
      <c r="B9" s="822"/>
      <c r="C9" s="822"/>
      <c r="D9" s="822"/>
      <c r="E9" s="1338"/>
      <c r="F9" s="1338"/>
      <c r="G9" s="1338"/>
      <c r="H9" s="1338"/>
      <c r="I9" s="1340"/>
      <c r="J9" s="1340"/>
      <c r="K9" s="1339"/>
      <c r="L9" s="823"/>
      <c r="M9" s="72"/>
      <c r="N9" s="72"/>
      <c r="O9" s="72"/>
      <c r="P9" s="1259"/>
      <c r="Q9" s="1259"/>
      <c r="R9" s="222"/>
      <c r="S9" s="74"/>
      <c r="T9" s="179"/>
      <c r="U9" s="179"/>
      <c r="V9" s="1055"/>
      <c r="W9" s="1055"/>
      <c r="X9" s="1055"/>
      <c r="Y9" s="1057" t="str">
        <f>Z8&amp;"-"&amp;AB8</f>
        <v>-</v>
      </c>
      <c r="Z9" s="1342"/>
      <c r="AA9" s="1133"/>
      <c r="AB9" s="1342"/>
      <c r="AC9" s="1133"/>
      <c r="AD9" s="1055"/>
      <c r="AE9" s="1055"/>
      <c r="AF9" s="1055"/>
      <c r="AG9" s="1057" t="str">
        <f>AH8&amp;"-"&amp;AJ8</f>
        <v>-</v>
      </c>
      <c r="AH9" s="1342"/>
      <c r="AI9" s="1133"/>
      <c r="AJ9" s="1342"/>
      <c r="AK9" s="1133"/>
      <c r="AL9" s="1055"/>
      <c r="AM9" s="1360"/>
      <c r="AO9" s="79"/>
      <c r="AP9" s="79" t="str">
        <f t="shared" si="0"/>
        <v/>
      </c>
      <c r="AQ9" s="79"/>
      <c r="AR9" s="79"/>
    </row>
    <row r="10" spans="1:44" ht="15" hidden="1" customHeight="1">
      <c r="A10" s="822"/>
      <c r="B10" s="822"/>
      <c r="C10" s="822"/>
      <c r="D10" s="822"/>
      <c r="E10" s="1338"/>
      <c r="F10" s="1338"/>
      <c r="G10" s="1338"/>
      <c r="H10" s="1338"/>
      <c r="I10" s="1340"/>
      <c r="J10" s="1339"/>
      <c r="K10" s="822"/>
      <c r="L10" s="823"/>
      <c r="M10" s="72"/>
      <c r="N10" s="72"/>
      <c r="P10" s="1259"/>
      <c r="Q10" s="1259"/>
      <c r="R10" s="221"/>
      <c r="S10" s="796"/>
      <c r="T10" s="175" t="s">
        <v>1476</v>
      </c>
      <c r="U10" s="228"/>
      <c r="V10" s="228"/>
      <c r="W10" s="228"/>
      <c r="X10" s="228"/>
      <c r="Y10" s="228"/>
      <c r="Z10" s="228"/>
      <c r="AA10" s="228"/>
      <c r="AB10" s="228"/>
      <c r="AC10" s="228"/>
      <c r="AD10" s="228"/>
      <c r="AE10" s="228"/>
      <c r="AF10" s="228"/>
      <c r="AG10" s="228"/>
      <c r="AH10" s="228"/>
      <c r="AI10" s="228"/>
      <c r="AJ10" s="228"/>
      <c r="AK10" s="228"/>
      <c r="AL10" s="204"/>
      <c r="AM10" s="1361"/>
      <c r="AO10" s="79"/>
      <c r="AP10" s="79" t="str">
        <f t="shared" si="0"/>
        <v>Добавить вид теплоносителя (параметры теплоносителя)</v>
      </c>
      <c r="AQ10" s="79"/>
      <c r="AR10" s="79"/>
    </row>
    <row r="11" spans="1:44" ht="15" hidden="1" customHeight="1">
      <c r="A11" s="822"/>
      <c r="B11" s="822"/>
      <c r="C11" s="822"/>
      <c r="D11" s="822"/>
      <c r="E11" s="1338"/>
      <c r="F11" s="1338"/>
      <c r="G11" s="1338"/>
      <c r="H11" s="1338"/>
      <c r="I11" s="1339"/>
      <c r="J11" s="822"/>
      <c r="K11" s="822"/>
      <c r="L11" s="823"/>
      <c r="M11" s="72"/>
      <c r="P11" s="1259"/>
      <c r="Q11" s="127"/>
      <c r="R11" s="221"/>
      <c r="S11" s="796"/>
      <c r="T11" s="174" t="s">
        <v>1477</v>
      </c>
      <c r="U11" s="228"/>
      <c r="V11" s="228"/>
      <c r="W11" s="228"/>
      <c r="X11" s="228"/>
      <c r="Y11" s="228"/>
      <c r="Z11" s="228"/>
      <c r="AA11" s="228"/>
      <c r="AB11" s="228"/>
      <c r="AC11" s="205"/>
      <c r="AD11" s="228"/>
      <c r="AE11" s="228"/>
      <c r="AF11" s="228"/>
      <c r="AG11" s="228"/>
      <c r="AH11" s="228"/>
      <c r="AI11" s="228"/>
      <c r="AJ11" s="228"/>
      <c r="AK11" s="205"/>
      <c r="AL11" s="228"/>
      <c r="AM11" s="182"/>
      <c r="AO11" s="79"/>
      <c r="AP11" s="79" t="str">
        <f t="shared" si="0"/>
        <v>Добавить группу потребителей</v>
      </c>
      <c r="AQ11" s="79"/>
      <c r="AR11" s="79"/>
    </row>
    <row r="12" spans="1:44" ht="14.25" hidden="1" customHeight="1">
      <c r="A12" s="822"/>
      <c r="B12" s="822"/>
      <c r="C12" s="822"/>
      <c r="D12" s="822"/>
      <c r="E12" s="1338"/>
      <c r="F12" s="1338"/>
      <c r="G12" s="1338"/>
      <c r="H12" s="1337"/>
      <c r="I12" s="822"/>
      <c r="J12" s="822"/>
      <c r="K12" s="822"/>
      <c r="L12" s="823"/>
      <c r="M12" s="452"/>
      <c r="N12" s="452"/>
      <c r="O12" s="72"/>
      <c r="P12" s="43"/>
      <c r="Q12" s="231"/>
      <c r="R12" s="220"/>
      <c r="S12" s="796"/>
      <c r="T12" s="226" t="s">
        <v>1478</v>
      </c>
      <c r="U12" s="228"/>
      <c r="V12" s="228"/>
      <c r="W12" s="228"/>
      <c r="X12" s="228"/>
      <c r="Y12" s="228"/>
      <c r="Z12" s="228"/>
      <c r="AA12" s="228"/>
      <c r="AB12" s="228"/>
      <c r="AC12" s="205"/>
      <c r="AD12" s="228"/>
      <c r="AE12" s="228"/>
      <c r="AF12" s="228"/>
      <c r="AG12" s="228"/>
      <c r="AH12" s="228"/>
      <c r="AI12" s="228"/>
      <c r="AJ12" s="228"/>
      <c r="AK12" s="205"/>
      <c r="AL12" s="228"/>
      <c r="AM12" s="182"/>
      <c r="AO12" s="79"/>
      <c r="AP12" s="79" t="str">
        <f t="shared" si="0"/>
        <v>Добавить схему подключения</v>
      </c>
      <c r="AQ12" s="79"/>
      <c r="AR12" s="79"/>
    </row>
    <row r="13" spans="1:44" s="77" customFormat="1" ht="0.75" hidden="1" customHeight="1">
      <c r="A13" s="150"/>
      <c r="B13" s="150"/>
      <c r="C13" s="150"/>
      <c r="D13" s="150"/>
      <c r="E13" s="1338"/>
      <c r="F13" s="1338"/>
      <c r="G13" s="1337"/>
      <c r="H13" s="150"/>
      <c r="I13" s="150"/>
      <c r="J13" s="150"/>
      <c r="K13" s="150"/>
      <c r="L13" s="373"/>
      <c r="M13" s="318"/>
      <c r="N13" s="318"/>
      <c r="P13" s="111"/>
      <c r="Q13" s="811"/>
      <c r="R13" s="111"/>
      <c r="S13" s="812"/>
      <c r="T13" s="813" t="s">
        <v>1437</v>
      </c>
      <c r="U13" s="814"/>
      <c r="V13" s="814"/>
      <c r="W13" s="814"/>
      <c r="X13" s="814"/>
      <c r="Y13" s="814"/>
      <c r="Z13" s="814"/>
      <c r="AA13" s="814"/>
      <c r="AB13" s="814"/>
      <c r="AC13" s="814"/>
      <c r="AD13" s="814"/>
      <c r="AE13" s="814"/>
      <c r="AF13" s="814"/>
      <c r="AG13" s="814"/>
      <c r="AH13" s="814"/>
      <c r="AI13" s="814"/>
      <c r="AJ13" s="814"/>
      <c r="AK13" s="814"/>
      <c r="AL13" s="814"/>
      <c r="AM13" s="814"/>
      <c r="AO13" s="79"/>
      <c r="AP13" s="79" t="str">
        <f t="shared" si="0"/>
        <v>Добавить источник для дифференциации</v>
      </c>
      <c r="AQ13" s="79"/>
      <c r="AR13" s="79"/>
    </row>
    <row r="14" spans="1:44" s="77" customFormat="1" ht="0.75" hidden="1" customHeight="1">
      <c r="A14" s="150"/>
      <c r="B14" s="150"/>
      <c r="C14" s="150"/>
      <c r="D14" s="150"/>
      <c r="E14" s="1338"/>
      <c r="F14" s="1337"/>
      <c r="G14" s="150"/>
      <c r="H14" s="150"/>
      <c r="I14" s="150"/>
      <c r="J14" s="150"/>
      <c r="K14" s="150"/>
      <c r="L14" s="373"/>
      <c r="M14" s="815"/>
      <c r="N14" s="815"/>
      <c r="P14" s="111"/>
      <c r="Q14" s="811"/>
      <c r="R14" s="111"/>
      <c r="S14" s="816"/>
      <c r="T14" s="817" t="s">
        <v>1438</v>
      </c>
      <c r="U14" s="338"/>
      <c r="V14" s="338"/>
      <c r="W14" s="338"/>
      <c r="X14" s="338"/>
      <c r="Y14" s="338"/>
      <c r="Z14" s="338"/>
      <c r="AA14" s="338"/>
      <c r="AB14" s="338"/>
      <c r="AC14" s="338"/>
      <c r="AD14" s="338"/>
      <c r="AE14" s="338"/>
      <c r="AF14" s="338"/>
      <c r="AG14" s="338"/>
      <c r="AH14" s="338"/>
      <c r="AI14" s="338"/>
      <c r="AJ14" s="338"/>
      <c r="AK14" s="338"/>
      <c r="AL14" s="338"/>
      <c r="AM14" s="338"/>
      <c r="AO14" s="79"/>
      <c r="AP14" s="79" t="str">
        <f t="shared" si="0"/>
        <v>Добавить централизованную систему для дифференциации</v>
      </c>
      <c r="AQ14" s="79"/>
      <c r="AR14" s="79"/>
    </row>
    <row r="15" spans="1:44" s="77" customFormat="1" ht="0.75" hidden="1" customHeight="1">
      <c r="A15" s="150"/>
      <c r="B15" s="150"/>
      <c r="C15" s="150"/>
      <c r="D15" s="150"/>
      <c r="E15" s="1337"/>
      <c r="F15" s="150"/>
      <c r="G15" s="150"/>
      <c r="H15" s="150"/>
      <c r="I15" s="150"/>
      <c r="J15" s="150"/>
      <c r="K15" s="150"/>
      <c r="L15" s="373"/>
      <c r="M15" s="815"/>
      <c r="N15" s="815"/>
      <c r="P15" s="111"/>
      <c r="Q15" s="811"/>
      <c r="R15" s="111"/>
      <c r="S15" s="816"/>
      <c r="T15" s="818" t="s">
        <v>1439</v>
      </c>
      <c r="U15" s="338"/>
      <c r="V15" s="338"/>
      <c r="W15" s="338"/>
      <c r="X15" s="338"/>
      <c r="Y15" s="338"/>
      <c r="Z15" s="338"/>
      <c r="AA15" s="338"/>
      <c r="AB15" s="338"/>
      <c r="AC15" s="338"/>
      <c r="AD15" s="338"/>
      <c r="AE15" s="338"/>
      <c r="AF15" s="338"/>
      <c r="AG15" s="338"/>
      <c r="AH15" s="338"/>
      <c r="AI15" s="338"/>
      <c r="AJ15" s="338"/>
      <c r="AK15" s="338"/>
      <c r="AL15" s="338"/>
      <c r="AM15" s="338"/>
      <c r="AO15" s="79"/>
      <c r="AP15" s="79" t="str">
        <f t="shared" si="0"/>
        <v>Добавить территорию для дифференциации</v>
      </c>
      <c r="AQ15" s="79"/>
      <c r="AR15" s="79"/>
    </row>
    <row r="16" spans="1:44" ht="14.25" hidden="1" customHeight="1"/>
    <row r="17" spans="1:44" ht="14.25" hidden="1" customHeight="1">
      <c r="AD17" s="1058"/>
      <c r="AE17" s="1058"/>
      <c r="AF17" s="1058"/>
      <c r="AG17" s="1059"/>
      <c r="AH17" s="1335"/>
      <c r="AI17" s="1334" t="s">
        <v>67</v>
      </c>
      <c r="AJ17" s="1335"/>
      <c r="AK17" s="1334" t="s">
        <v>67</v>
      </c>
    </row>
    <row r="18" spans="1:44" ht="14.25" hidden="1" customHeight="1">
      <c r="AD18" s="1058"/>
      <c r="AE18" s="1058"/>
      <c r="AF18" s="1058"/>
      <c r="AG18" s="1057" t="str">
        <f>AH17&amp;"-"&amp;AJ17</f>
        <v>-</v>
      </c>
      <c r="AH18" s="1334"/>
      <c r="AI18" s="1334"/>
      <c r="AJ18" s="1334"/>
      <c r="AK18" s="1334"/>
    </row>
    <row r="19" spans="1:44" ht="14.25" hidden="1" customHeight="1"/>
    <row r="20" spans="1:44" s="72" customFormat="1" ht="22.5" hidden="1" customHeight="1">
      <c r="L20" s="388"/>
      <c r="M20" s="541"/>
      <c r="N20" s="541"/>
      <c r="O20" s="824" t="s">
        <v>1479</v>
      </c>
      <c r="P20" s="541"/>
      <c r="Q20" s="825"/>
      <c r="R20" s="825"/>
      <c r="S20" s="452"/>
      <c r="Z20" s="824"/>
      <c r="AB20" s="824"/>
      <c r="AH20" s="824"/>
      <c r="AJ20" s="824"/>
      <c r="AN20" s="77"/>
      <c r="AO20" s="77"/>
      <c r="AP20" s="77"/>
      <c r="AQ20" s="77"/>
      <c r="AR20" s="77"/>
    </row>
    <row r="21" spans="1:44" s="72" customFormat="1" ht="14.25" hidden="1" customHeight="1">
      <c r="L21" s="388"/>
      <c r="M21" s="541"/>
      <c r="N21" s="541"/>
      <c r="O21" s="541"/>
      <c r="P21" s="541"/>
      <c r="Q21" s="825"/>
      <c r="R21" s="825"/>
      <c r="S21" s="452"/>
      <c r="AN21" s="77"/>
      <c r="AO21" s="77"/>
      <c r="AP21" s="77"/>
      <c r="AQ21" s="77"/>
      <c r="AR21" s="77"/>
    </row>
    <row r="22" spans="1:44" s="72" customFormat="1" ht="14.25" hidden="1" customHeight="1">
      <c r="L22" s="388"/>
      <c r="M22" s="541"/>
      <c r="N22" s="541"/>
      <c r="O22" s="823" t="s">
        <v>1480</v>
      </c>
      <c r="P22" s="541"/>
      <c r="Q22" s="825"/>
      <c r="R22" s="825"/>
      <c r="S22" s="452"/>
      <c r="T22" s="72" t="s">
        <v>1481</v>
      </c>
      <c r="AA22" s="91" t="s">
        <v>1482</v>
      </c>
      <c r="AC22" s="91" t="s">
        <v>1483</v>
      </c>
      <c r="AD22" s="72" t="s">
        <v>1481</v>
      </c>
      <c r="AI22" s="91" t="s">
        <v>1484</v>
      </c>
      <c r="AK22" s="91" t="s">
        <v>1483</v>
      </c>
      <c r="AN22" s="77"/>
      <c r="AO22" s="77"/>
      <c r="AP22" s="77"/>
      <c r="AQ22" s="77"/>
      <c r="AR22" s="77"/>
    </row>
    <row r="23" spans="1:44" ht="14.25" hidden="1" customHeight="1">
      <c r="O23" s="823"/>
    </row>
    <row r="24" spans="1:44" ht="14.25" hidden="1" customHeight="1">
      <c r="O24" s="823"/>
    </row>
    <row r="25" spans="1:44" ht="14.25" customHeight="1">
      <c r="Q25" s="36"/>
      <c r="R25" s="36"/>
      <c r="S25" s="793"/>
      <c r="T25" s="25"/>
      <c r="U25" s="25"/>
    </row>
    <row r="26" spans="1:44" ht="64.5" customHeight="1">
      <c r="Q26" s="36"/>
      <c r="R26" s="36"/>
      <c r="S26" s="1181" t="str">
        <f>IF(TEMPLATE_GROUP="P",PT_P_FORM_HEAT_4_NAME_FORM,PT_R_FORM_HEAT_21_NAME_FORM)</f>
        <v>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v>
      </c>
      <c r="T26" s="1181"/>
      <c r="U26" s="1181"/>
      <c r="V26" s="1181"/>
      <c r="W26" s="1181"/>
      <c r="X26" s="1181"/>
      <c r="Y26" s="1181"/>
      <c r="Z26" s="1181"/>
      <c r="AA26" s="1181"/>
      <c r="AB26" s="1181"/>
      <c r="AC26" s="1181"/>
      <c r="AD26" s="1181"/>
      <c r="AE26" s="1181"/>
      <c r="AF26" s="1181"/>
      <c r="AG26" s="1181"/>
      <c r="AH26" s="1181"/>
      <c r="AI26" s="1181"/>
      <c r="AJ26" s="1181"/>
      <c r="AK26" s="69"/>
    </row>
    <row r="27" spans="1:44" ht="14.25" customHeight="1">
      <c r="Q27" s="36"/>
      <c r="R27" s="36"/>
      <c r="S27" s="1204" t="str">
        <f>IF(org=0,"Не определено",org)</f>
        <v>ООО "ТЕПЛО ПЛЮС"</v>
      </c>
      <c r="T27" s="1204"/>
      <c r="U27" s="1204"/>
      <c r="V27" s="1204"/>
      <c r="W27" s="1204"/>
      <c r="X27" s="1204"/>
      <c r="Y27" s="1204"/>
      <c r="Z27" s="1204"/>
      <c r="AA27" s="1204"/>
      <c r="AB27" s="1204"/>
      <c r="AC27" s="1204"/>
      <c r="AD27" s="1204"/>
      <c r="AE27" s="1204"/>
      <c r="AF27" s="1204"/>
      <c r="AG27" s="1204"/>
      <c r="AH27" s="1204"/>
      <c r="AI27" s="1204"/>
      <c r="AJ27" s="1204"/>
      <c r="AK27" s="69"/>
    </row>
    <row r="28" spans="1:44" ht="14.25" hidden="1" customHeight="1">
      <c r="Q28" s="36"/>
      <c r="R28" s="36"/>
      <c r="S28" s="793"/>
      <c r="T28" s="25"/>
      <c r="U28" s="25"/>
      <c r="V28" s="202"/>
      <c r="W28" s="202"/>
      <c r="X28" s="202"/>
      <c r="Y28" s="202"/>
      <c r="Z28" s="202"/>
      <c r="AA28" s="202"/>
      <c r="AB28" s="202"/>
      <c r="AC28" s="202"/>
      <c r="AD28" s="202"/>
      <c r="AE28" s="202"/>
      <c r="AF28" s="202"/>
      <c r="AG28" s="202"/>
      <c r="AH28" s="202"/>
      <c r="AI28" s="202"/>
      <c r="AJ28" s="202"/>
      <c r="AK28" s="202"/>
    </row>
    <row r="29" spans="1:44" s="44" customFormat="1" ht="25.5" hidden="1" customHeight="1">
      <c r="A29" s="91"/>
      <c r="B29" s="91"/>
      <c r="C29" s="91"/>
      <c r="D29" s="91"/>
      <c r="E29" s="91"/>
      <c r="F29" s="91"/>
      <c r="G29" s="91"/>
      <c r="H29" s="91"/>
      <c r="I29" s="91"/>
      <c r="J29" s="91"/>
      <c r="K29" s="91"/>
      <c r="L29" s="823"/>
      <c r="M29" s="91"/>
      <c r="N29" s="91"/>
      <c r="O29" s="91"/>
      <c r="S29" s="1329" t="s">
        <v>39</v>
      </c>
      <c r="T29" s="1329"/>
      <c r="U29" s="826"/>
      <c r="V29" s="1330" t="str">
        <f>IF(TITLE_NAME_OR_PR_CHANGE="",IF(TITLE_NAME_OR_PR="","",TITLE_NAME_OR_PR),TITLE_NAME_OR_PR_CHANGE)</f>
        <v/>
      </c>
      <c r="W29" s="1330"/>
      <c r="X29" s="1330"/>
      <c r="Y29" s="1330"/>
      <c r="Z29" s="1330"/>
      <c r="AA29" s="1330"/>
      <c r="AB29" s="1330"/>
      <c r="AC29" s="24"/>
      <c r="AD29" s="1330" t="str">
        <f>IF(TITLE_NAME_OR_PR_CHANGE="",IF(TITLE_NAME_OR_PR="","",TITLE_NAME_OR_PR),TITLE_NAME_OR_PR_CHANGE)</f>
        <v/>
      </c>
      <c r="AE29" s="1330"/>
      <c r="AF29" s="1330"/>
      <c r="AG29" s="1330"/>
      <c r="AH29" s="1330"/>
      <c r="AI29" s="1330"/>
      <c r="AJ29" s="1330"/>
      <c r="AK29" s="24"/>
      <c r="AL29" s="24"/>
      <c r="AM29" s="171"/>
      <c r="AN29" s="79"/>
      <c r="AO29" s="79"/>
      <c r="AP29" s="79"/>
      <c r="AQ29" s="79"/>
      <c r="AR29" s="79"/>
    </row>
    <row r="30" spans="1:44" s="44" customFormat="1" ht="18.75" hidden="1" customHeight="1">
      <c r="A30" s="91"/>
      <c r="B30" s="91"/>
      <c r="C30" s="91"/>
      <c r="D30" s="91"/>
      <c r="E30" s="91"/>
      <c r="F30" s="91"/>
      <c r="G30" s="91"/>
      <c r="H30" s="91"/>
      <c r="I30" s="91"/>
      <c r="J30" s="91"/>
      <c r="K30" s="91"/>
      <c r="L30" s="823"/>
      <c r="M30" s="91"/>
      <c r="N30" s="91"/>
      <c r="O30" s="91"/>
      <c r="S30" s="1329" t="s">
        <v>1485</v>
      </c>
      <c r="T30" s="1329"/>
      <c r="U30" s="826"/>
      <c r="V30" s="1330" t="str">
        <f>IF(TITLE_DATE_CHANGE_PERIOD="",IF(TITLE_DATE_PR="","",TITLE_DATE_PR),TITLE_DATE_CHANGE_PERIOD)</f>
        <v/>
      </c>
      <c r="W30" s="1330"/>
      <c r="X30" s="1330"/>
      <c r="Y30" s="1330"/>
      <c r="Z30" s="1330"/>
      <c r="AA30" s="1330"/>
      <c r="AB30" s="1330"/>
      <c r="AC30" s="24"/>
      <c r="AD30" s="1330" t="str">
        <f>IF(TITLE_DATE_CHANGE_PERIOD="",IF(TITLE_DATE_PR="","",TITLE_DATE_PR),TITLE_DATE_CHANGE_PERIOD)</f>
        <v/>
      </c>
      <c r="AE30" s="1330"/>
      <c r="AF30" s="1330"/>
      <c r="AG30" s="1330"/>
      <c r="AH30" s="1330"/>
      <c r="AI30" s="1330"/>
      <c r="AJ30" s="1330"/>
      <c r="AK30" s="24"/>
      <c r="AL30" s="24"/>
      <c r="AM30" s="171"/>
      <c r="AN30" s="79"/>
      <c r="AO30" s="79"/>
      <c r="AP30" s="79"/>
      <c r="AQ30" s="79"/>
      <c r="AR30" s="79"/>
    </row>
    <row r="31" spans="1:44" s="44" customFormat="1" ht="18.75" hidden="1" customHeight="1">
      <c r="A31" s="91"/>
      <c r="B31" s="91"/>
      <c r="C31" s="91"/>
      <c r="D31" s="91"/>
      <c r="E31" s="91"/>
      <c r="F31" s="91"/>
      <c r="G31" s="91"/>
      <c r="H31" s="91"/>
      <c r="I31" s="91"/>
      <c r="J31" s="91"/>
      <c r="K31" s="91"/>
      <c r="L31" s="823"/>
      <c r="M31" s="91"/>
      <c r="N31" s="91"/>
      <c r="O31" s="91"/>
      <c r="S31" s="1329" t="s">
        <v>1486</v>
      </c>
      <c r="T31" s="1329"/>
      <c r="U31" s="826"/>
      <c r="V31" s="1330" t="str">
        <f>IF(TITLE_NUMBER_PR_CHANGE="",IF(TITLE_NUMBER_PR="","",TITLE_NUMBER_PR),TITLE_NUMBER_PR_CHANGE)</f>
        <v/>
      </c>
      <c r="W31" s="1330"/>
      <c r="X31" s="1330"/>
      <c r="Y31" s="1330"/>
      <c r="Z31" s="1330"/>
      <c r="AA31" s="1330"/>
      <c r="AB31" s="1330"/>
      <c r="AC31" s="24"/>
      <c r="AD31" s="1330" t="str">
        <f>IF(TITLE_NUMBER_PR_CHANGE="",IF(TITLE_NUMBER_PR="","",TITLE_NUMBER_PR),TITLE_NUMBER_PR_CHANGE)</f>
        <v/>
      </c>
      <c r="AE31" s="1330"/>
      <c r="AF31" s="1330"/>
      <c r="AG31" s="1330"/>
      <c r="AH31" s="1330"/>
      <c r="AI31" s="1330"/>
      <c r="AJ31" s="1330"/>
      <c r="AK31" s="24"/>
      <c r="AL31" s="24"/>
      <c r="AM31" s="171"/>
      <c r="AN31" s="79"/>
      <c r="AO31" s="79"/>
      <c r="AP31" s="79"/>
      <c r="AQ31" s="79"/>
      <c r="AR31" s="79"/>
    </row>
    <row r="32" spans="1:44" s="44" customFormat="1" ht="18.75" hidden="1" customHeight="1">
      <c r="A32" s="91"/>
      <c r="B32" s="91"/>
      <c r="C32" s="91"/>
      <c r="D32" s="91"/>
      <c r="E32" s="91"/>
      <c r="F32" s="91"/>
      <c r="G32" s="91"/>
      <c r="H32" s="91"/>
      <c r="I32" s="91"/>
      <c r="J32" s="91"/>
      <c r="K32" s="91"/>
      <c r="L32" s="823"/>
      <c r="M32" s="91"/>
      <c r="N32" s="91"/>
      <c r="O32" s="91"/>
      <c r="S32" s="1329" t="s">
        <v>40</v>
      </c>
      <c r="T32" s="1329"/>
      <c r="U32" s="826"/>
      <c r="V32" s="1330" t="str">
        <f>IF(TITLE_IST_PUB_CHANGE="",IF(TITLE_IST_PUB="","",TITLE_IST_PUB),TITLE_IST_PUB_CHANGE)</f>
        <v/>
      </c>
      <c r="W32" s="1330"/>
      <c r="X32" s="1330"/>
      <c r="Y32" s="1330"/>
      <c r="Z32" s="1330"/>
      <c r="AA32" s="1330"/>
      <c r="AB32" s="1330"/>
      <c r="AC32" s="24"/>
      <c r="AD32" s="1330" t="str">
        <f>IF(TITLE_IST_PUB_CHANGE="",IF(TITLE_IST_PUB="","",TITLE_IST_PUB),TITLE_IST_PUB_CHANGE)</f>
        <v/>
      </c>
      <c r="AE32" s="1330"/>
      <c r="AF32" s="1330"/>
      <c r="AG32" s="1330"/>
      <c r="AH32" s="1330"/>
      <c r="AI32" s="1330"/>
      <c r="AJ32" s="1330"/>
      <c r="AK32" s="24"/>
      <c r="AL32" s="24"/>
      <c r="AM32" s="171"/>
      <c r="AN32" s="79"/>
      <c r="AO32" s="79"/>
      <c r="AP32" s="79"/>
      <c r="AQ32" s="79"/>
      <c r="AR32" s="79"/>
    </row>
    <row r="33" spans="1:44" ht="14.25" hidden="1" customHeight="1">
      <c r="Q33" s="36"/>
      <c r="R33" s="36"/>
      <c r="S33" s="793"/>
      <c r="T33" s="25"/>
      <c r="U33" s="25"/>
      <c r="V33" s="202"/>
      <c r="W33" s="202"/>
      <c r="X33" s="202"/>
      <c r="Y33" s="202"/>
      <c r="Z33" s="202"/>
      <c r="AA33" s="202"/>
      <c r="AB33" s="202"/>
      <c r="AC33" s="202"/>
      <c r="AD33" s="202"/>
      <c r="AE33" s="202"/>
      <c r="AF33" s="202"/>
      <c r="AG33" s="202"/>
      <c r="AH33" s="202"/>
      <c r="AI33" s="202"/>
      <c r="AJ33" s="202"/>
      <c r="AK33" s="202"/>
    </row>
    <row r="34" spans="1:44" s="44" customFormat="1" ht="18.75" hidden="1" customHeight="1">
      <c r="A34" s="91"/>
      <c r="B34" s="91"/>
      <c r="C34" s="91"/>
      <c r="D34" s="91"/>
      <c r="E34" s="91"/>
      <c r="F34" s="91"/>
      <c r="G34" s="91"/>
      <c r="H34" s="91"/>
      <c r="I34" s="91"/>
      <c r="J34" s="91"/>
      <c r="K34" s="91"/>
      <c r="L34" s="823"/>
      <c r="M34" s="91"/>
      <c r="N34" s="91"/>
      <c r="O34" s="91"/>
      <c r="S34" s="1329" t="s">
        <v>1487</v>
      </c>
      <c r="T34" s="1329"/>
      <c r="U34" s="826"/>
      <c r="V34" s="1330" t="str">
        <f>IF(TITLE_DATE_CHANGE_PERIOD="",IF(TITLE_DATE_PR="","",TITLE_DATE_PR),TITLE_DATE_CHANGE_PERIOD)</f>
        <v/>
      </c>
      <c r="W34" s="1330"/>
      <c r="X34" s="1330"/>
      <c r="Y34" s="1330"/>
      <c r="Z34" s="1330"/>
      <c r="AA34" s="1330"/>
      <c r="AB34" s="1330"/>
      <c r="AC34" s="24"/>
      <c r="AD34" s="1330" t="str">
        <f>IF(TITLE_DATE_CHANGE_PERIOD="",IF(TITLE_DATE_PR="","",TITLE_DATE_PR),TITLE_DATE_CHANGE_PERIOD)</f>
        <v/>
      </c>
      <c r="AE34" s="1330"/>
      <c r="AF34" s="1330"/>
      <c r="AG34" s="1330"/>
      <c r="AH34" s="1330"/>
      <c r="AI34" s="1330"/>
      <c r="AJ34" s="1330"/>
      <c r="AK34" s="24"/>
      <c r="AL34" s="24"/>
      <c r="AM34" s="171"/>
      <c r="AN34" s="79"/>
      <c r="AO34" s="79"/>
      <c r="AP34" s="79"/>
      <c r="AQ34" s="79"/>
      <c r="AR34" s="79"/>
    </row>
    <row r="35" spans="1:44" s="44" customFormat="1" ht="18.75" hidden="1" customHeight="1">
      <c r="A35" s="91"/>
      <c r="B35" s="91"/>
      <c r="C35" s="91"/>
      <c r="D35" s="91"/>
      <c r="E35" s="91"/>
      <c r="F35" s="91"/>
      <c r="G35" s="91"/>
      <c r="H35" s="91"/>
      <c r="I35" s="91"/>
      <c r="J35" s="91"/>
      <c r="K35" s="91"/>
      <c r="L35" s="823"/>
      <c r="M35" s="91"/>
      <c r="N35" s="91"/>
      <c r="O35" s="91"/>
      <c r="S35" s="1329" t="s">
        <v>1488</v>
      </c>
      <c r="T35" s="1329"/>
      <c r="U35" s="826"/>
      <c r="V35" s="1330" t="str">
        <f>IF(TITLE_NUMBER_PR_CHANGE="",IF(TITLE_NUMBER_PR="","",TITLE_NUMBER_PR),TITLE_NUMBER_PR_CHANGE)</f>
        <v/>
      </c>
      <c r="W35" s="1330"/>
      <c r="X35" s="1330"/>
      <c r="Y35" s="1330"/>
      <c r="Z35" s="1330"/>
      <c r="AA35" s="1330"/>
      <c r="AB35" s="1330"/>
      <c r="AC35" s="24"/>
      <c r="AD35" s="1330" t="str">
        <f>IF(TITLE_NUMBER_PR_CHANGE="",IF(TITLE_NUMBER_PR="","",TITLE_NUMBER_PR),TITLE_NUMBER_PR_CHANGE)</f>
        <v/>
      </c>
      <c r="AE35" s="1330"/>
      <c r="AF35" s="1330"/>
      <c r="AG35" s="1330"/>
      <c r="AH35" s="1330"/>
      <c r="AI35" s="1330"/>
      <c r="AJ35" s="1330"/>
      <c r="AK35" s="24"/>
      <c r="AL35" s="24"/>
      <c r="AM35" s="171"/>
      <c r="AN35" s="79"/>
      <c r="AO35" s="79"/>
      <c r="AP35" s="79"/>
      <c r="AQ35" s="79"/>
      <c r="AR35" s="79"/>
    </row>
    <row r="36" spans="1:44" s="44" customFormat="1" ht="0" hidden="1" customHeight="1">
      <c r="A36" s="91"/>
      <c r="B36" s="91"/>
      <c r="C36" s="91"/>
      <c r="D36" s="91"/>
      <c r="E36" s="91"/>
      <c r="F36" s="91"/>
      <c r="G36" s="91"/>
      <c r="H36" s="91"/>
      <c r="I36" s="91"/>
      <c r="J36" s="91"/>
      <c r="K36" s="91"/>
      <c r="L36" s="823"/>
      <c r="M36" s="91"/>
      <c r="N36" s="91"/>
      <c r="O36" s="91"/>
      <c r="S36" s="24"/>
      <c r="T36" s="24"/>
      <c r="U36" s="87"/>
      <c r="V36" s="24"/>
      <c r="W36" s="24"/>
      <c r="X36" s="24"/>
      <c r="Y36" s="24"/>
      <c r="Z36" s="24"/>
      <c r="AA36" s="24"/>
      <c r="AB36" s="24"/>
      <c r="AC36" s="77" t="s">
        <v>1489</v>
      </c>
      <c r="AD36" s="24"/>
      <c r="AE36" s="24"/>
      <c r="AF36" s="24"/>
      <c r="AG36" s="24"/>
      <c r="AH36" s="24"/>
      <c r="AI36" s="24"/>
      <c r="AJ36" s="24"/>
      <c r="AK36" s="77" t="s">
        <v>1489</v>
      </c>
      <c r="AN36" s="79"/>
      <c r="AO36" s="79"/>
      <c r="AP36" s="79"/>
      <c r="AQ36" s="79"/>
      <c r="AR36" s="79"/>
    </row>
    <row r="37" spans="1:44" ht="14.25" customHeight="1">
      <c r="Q37" s="36"/>
      <c r="R37" s="36"/>
      <c r="S37" s="793"/>
      <c r="T37" s="25"/>
      <c r="U37" s="766"/>
      <c r="V37" s="1348"/>
      <c r="W37" s="1348"/>
      <c r="X37" s="1348"/>
      <c r="Y37" s="1348"/>
      <c r="Z37" s="1348"/>
      <c r="AA37" s="1348"/>
      <c r="AB37" s="1348"/>
      <c r="AC37" s="1348"/>
      <c r="AD37" s="1348"/>
      <c r="AE37" s="1348"/>
      <c r="AF37" s="1348"/>
      <c r="AG37" s="1348"/>
      <c r="AH37" s="1348"/>
      <c r="AI37" s="1348"/>
      <c r="AJ37" s="1348"/>
      <c r="AK37" s="1348"/>
    </row>
    <row r="38" spans="1:44" ht="14.25" customHeight="1">
      <c r="Q38" s="36"/>
      <c r="R38" s="36"/>
      <c r="S38" s="1123" t="s">
        <v>292</v>
      </c>
      <c r="T38" s="1123"/>
      <c r="U38" s="1123"/>
      <c r="V38" s="1123"/>
      <c r="W38" s="1123"/>
      <c r="X38" s="1123"/>
      <c r="Y38" s="1123"/>
      <c r="Z38" s="1123"/>
      <c r="AA38" s="1123"/>
      <c r="AB38" s="1123"/>
      <c r="AC38" s="1123"/>
      <c r="AD38" s="1123"/>
      <c r="AE38" s="1123"/>
      <c r="AF38" s="1123"/>
      <c r="AG38" s="1123"/>
      <c r="AH38" s="1123"/>
      <c r="AI38" s="1123"/>
      <c r="AJ38" s="1123"/>
      <c r="AK38" s="1123"/>
      <c r="AL38" s="1123"/>
      <c r="AM38" s="1123" t="s">
        <v>293</v>
      </c>
    </row>
    <row r="39" spans="1:44" ht="14.25" customHeight="1">
      <c r="Q39" s="36"/>
      <c r="R39" s="36"/>
      <c r="S39" s="1349" t="s">
        <v>88</v>
      </c>
      <c r="T39" s="1213" t="s">
        <v>1490</v>
      </c>
      <c r="U39" s="180"/>
      <c r="V39" s="1350" t="s">
        <v>1491</v>
      </c>
      <c r="W39" s="1351"/>
      <c r="X39" s="1351"/>
      <c r="Y39" s="1351"/>
      <c r="Z39" s="1351"/>
      <c r="AA39" s="1351"/>
      <c r="AB39" s="1352"/>
      <c r="AC39" s="1353" t="s">
        <v>1492</v>
      </c>
      <c r="AD39" s="1350" t="s">
        <v>1491</v>
      </c>
      <c r="AE39" s="1351"/>
      <c r="AF39" s="1351"/>
      <c r="AG39" s="1351"/>
      <c r="AH39" s="1351"/>
      <c r="AI39" s="1351"/>
      <c r="AJ39" s="1352"/>
      <c r="AK39" s="1353" t="s">
        <v>1493</v>
      </c>
      <c r="AL39" s="1356" t="s">
        <v>1494</v>
      </c>
      <c r="AM39" s="1123"/>
    </row>
    <row r="40" spans="1:44" ht="33.75" customHeight="1">
      <c r="Q40" s="36"/>
      <c r="R40" s="36"/>
      <c r="S40" s="1349"/>
      <c r="T40" s="1213"/>
      <c r="U40" s="647"/>
      <c r="V40" s="1182" t="s">
        <v>1495</v>
      </c>
      <c r="W40" s="1345" t="s">
        <v>1496</v>
      </c>
      <c r="X40" s="1105" t="s">
        <v>1497</v>
      </c>
      <c r="Y40" s="1104"/>
      <c r="Z40" s="1105" t="s">
        <v>1516</v>
      </c>
      <c r="AA40" s="1110"/>
      <c r="AB40" s="1104"/>
      <c r="AC40" s="1354"/>
      <c r="AD40" s="1182" t="s">
        <v>1495</v>
      </c>
      <c r="AE40" s="1345" t="s">
        <v>1496</v>
      </c>
      <c r="AF40" s="1105" t="s">
        <v>1497</v>
      </c>
      <c r="AG40" s="1104"/>
      <c r="AH40" s="1105" t="s">
        <v>1498</v>
      </c>
      <c r="AI40" s="1110"/>
      <c r="AJ40" s="1104"/>
      <c r="AK40" s="1354"/>
      <c r="AL40" s="1357"/>
      <c r="AM40" s="1123"/>
    </row>
    <row r="41" spans="1:44" ht="33.75" customHeight="1">
      <c r="A41" s="91"/>
      <c r="B41" s="91" t="s">
        <v>136</v>
      </c>
      <c r="C41" s="91" t="s">
        <v>137</v>
      </c>
      <c r="D41" s="91" t="s">
        <v>138</v>
      </c>
      <c r="E41" s="823" t="s">
        <v>1499</v>
      </c>
      <c r="F41" s="823" t="s">
        <v>1500</v>
      </c>
      <c r="G41" s="823" t="s">
        <v>1501</v>
      </c>
      <c r="H41" s="823" t="s">
        <v>1502</v>
      </c>
      <c r="I41" s="823" t="s">
        <v>1503</v>
      </c>
      <c r="J41" s="823" t="s">
        <v>1504</v>
      </c>
      <c r="K41" s="823" t="s">
        <v>1505</v>
      </c>
      <c r="L41" s="823" t="s">
        <v>1480</v>
      </c>
      <c r="Q41" s="36"/>
      <c r="R41" s="36"/>
      <c r="S41" s="1349"/>
      <c r="T41" s="1213"/>
      <c r="U41" s="181"/>
      <c r="V41" s="1238"/>
      <c r="W41" s="1346"/>
      <c r="X41" s="48" t="s">
        <v>1506</v>
      </c>
      <c r="Y41" s="48" t="s">
        <v>1507</v>
      </c>
      <c r="Z41" s="48" t="s">
        <v>1508</v>
      </c>
      <c r="AA41" s="1219" t="s">
        <v>1509</v>
      </c>
      <c r="AB41" s="1233"/>
      <c r="AC41" s="1355"/>
      <c r="AD41" s="1238"/>
      <c r="AE41" s="1346"/>
      <c r="AF41" s="48" t="s">
        <v>1506</v>
      </c>
      <c r="AG41" s="48" t="s">
        <v>1507</v>
      </c>
      <c r="AH41" s="48" t="s">
        <v>1508</v>
      </c>
      <c r="AI41" s="1219" t="s">
        <v>1509</v>
      </c>
      <c r="AJ41" s="1233"/>
      <c r="AK41" s="1355"/>
      <c r="AL41" s="1358"/>
      <c r="AM41" s="1123"/>
    </row>
    <row r="42" spans="1:44" s="216" customFormat="1" ht="11.25" hidden="1" customHeight="1">
      <c r="A42" s="91"/>
      <c r="B42" s="91"/>
      <c r="C42" s="91"/>
      <c r="D42" s="91"/>
      <c r="E42" s="91"/>
      <c r="F42" s="91"/>
      <c r="G42" s="91"/>
      <c r="H42" s="91"/>
      <c r="I42" s="91"/>
      <c r="J42" s="91"/>
      <c r="K42" s="91"/>
      <c r="L42" s="823"/>
      <c r="M42" s="541"/>
      <c r="N42" s="541"/>
      <c r="O42" s="541"/>
      <c r="P42" s="768"/>
      <c r="Q42" s="769"/>
      <c r="R42" s="777">
        <v>1</v>
      </c>
      <c r="S42" s="795" t="s">
        <v>109</v>
      </c>
      <c r="T42" s="778" t="s">
        <v>110</v>
      </c>
      <c r="U42" s="767" t="str">
        <f ca="1">OFFSET(U42,0,-1)</f>
        <v>2</v>
      </c>
      <c r="V42" s="779">
        <f ca="1">OFFSET(V42,0,-1)+1</f>
        <v>3</v>
      </c>
      <c r="W42" s="779"/>
      <c r="X42" s="779">
        <f ca="1">OFFSET(X42,0,-1)+1</f>
        <v>1</v>
      </c>
      <c r="Y42" s="779">
        <f ca="1">OFFSET(Y42,0,-1)+1</f>
        <v>2</v>
      </c>
      <c r="Z42" s="779">
        <f ca="1">OFFSET(Z42,0,-1)+1</f>
        <v>3</v>
      </c>
      <c r="AA42" s="1347">
        <f ca="1">OFFSET(AA42,0,-1)+1</f>
        <v>4</v>
      </c>
      <c r="AB42" s="1347"/>
      <c r="AC42" s="779">
        <f ca="1">OFFSET(AC42,0,-2)+1</f>
        <v>5</v>
      </c>
      <c r="AD42" s="779">
        <f ca="1">OFFSET(AD42,0,-1)+1</f>
        <v>6</v>
      </c>
      <c r="AE42" s="779"/>
      <c r="AF42" s="779">
        <f ca="1">OFFSET(AF42,0,-1)+1</f>
        <v>1</v>
      </c>
      <c r="AG42" s="779">
        <f ca="1">OFFSET(AG42,0,-1)+1</f>
        <v>2</v>
      </c>
      <c r="AH42" s="779">
        <f ca="1">OFFSET(AH42,0,-1)+1</f>
        <v>3</v>
      </c>
      <c r="AI42" s="1347">
        <f ca="1">OFFSET(AI42,0,-1)+1</f>
        <v>4</v>
      </c>
      <c r="AJ42" s="1347"/>
      <c r="AK42" s="779">
        <f ca="1">OFFSET(AK42,0,-2)+1</f>
        <v>5</v>
      </c>
      <c r="AL42" s="767">
        <f ca="1">OFFSET(AL42,0,-1)</f>
        <v>5</v>
      </c>
      <c r="AM42" s="779">
        <f ca="1">OFFSET(AM42,0,-1)+1</f>
        <v>6</v>
      </c>
      <c r="AN42" s="77"/>
      <c r="AO42" s="77"/>
      <c r="AP42" s="77"/>
      <c r="AQ42" s="77"/>
      <c r="AR42" s="77"/>
    </row>
    <row r="43" spans="1:44" ht="21" customHeight="1">
      <c r="A43" s="822" t="s">
        <v>165</v>
      </c>
      <c r="B43" s="822"/>
      <c r="C43" s="822"/>
      <c r="D43" s="822"/>
      <c r="E43" s="1337">
        <v>1</v>
      </c>
      <c r="F43" s="822"/>
      <c r="G43" s="822"/>
      <c r="H43" s="822"/>
      <c r="I43" s="822"/>
      <c r="J43" s="822"/>
      <c r="K43" s="822"/>
      <c r="L43" s="823"/>
      <c r="M43" s="452"/>
      <c r="N43" s="452"/>
      <c r="O43" s="452"/>
      <c r="Q43" s="43"/>
      <c r="R43" s="220"/>
      <c r="S43" s="755">
        <f>INDEX(PT_DIFFERENTIATION_NUM_NTAR,MATCH(A43,PT_DIFFERENTIATION_NTAR_ID,0))</f>
        <v>0</v>
      </c>
      <c r="T43" s="76" t="s">
        <v>124</v>
      </c>
      <c r="U43" s="179"/>
      <c r="V43" s="1331"/>
      <c r="W43" s="1332"/>
      <c r="X43" s="1332"/>
      <c r="Y43" s="1332"/>
      <c r="Z43" s="1332"/>
      <c r="AA43" s="1332"/>
      <c r="AB43" s="1332"/>
      <c r="AC43" s="1333"/>
      <c r="AD43" s="1331" t="str">
        <f>INDEX(PT_DIFFERENTIATION_NTAR,MATCH(A43,PT_DIFFERENTIATION_NTAR_ID,0))</f>
        <v/>
      </c>
      <c r="AE43" s="1332"/>
      <c r="AF43" s="1332"/>
      <c r="AG43" s="1332"/>
      <c r="AH43" s="1332"/>
      <c r="AI43" s="1332"/>
      <c r="AJ43" s="1332"/>
      <c r="AK43" s="1332"/>
      <c r="AL43" s="1333"/>
      <c r="AM43" s="782" t="s">
        <v>1461</v>
      </c>
      <c r="AO43" s="79"/>
      <c r="AP43" s="79" t="str">
        <f t="shared" ref="AP43:AP57" si="1">IF(T43="","",T43)</f>
        <v>Наименование тарифа</v>
      </c>
      <c r="AQ43" s="79"/>
      <c r="AR43" s="79"/>
    </row>
    <row r="44" spans="1:44" ht="21" customHeight="1">
      <c r="A44" s="822" t="s">
        <v>165</v>
      </c>
      <c r="B44" s="822" t="s">
        <v>166</v>
      </c>
      <c r="C44" s="822"/>
      <c r="D44" s="822"/>
      <c r="E44" s="1338"/>
      <c r="F44" s="1337">
        <v>1</v>
      </c>
      <c r="G44" s="822"/>
      <c r="H44" s="822"/>
      <c r="I44" s="822"/>
      <c r="J44" s="822"/>
      <c r="K44" s="822"/>
      <c r="L44" s="823"/>
      <c r="M44" s="452"/>
      <c r="N44" s="452"/>
      <c r="O44" s="452"/>
      <c r="P44" s="68"/>
      <c r="Q44" s="217"/>
      <c r="R44" s="218"/>
      <c r="S44" s="755" t="str">
        <f>INDEX(PT_DIFFERENTIATION_NUM_TER,MATCH(B44,PT_DIFFERENTIATION_TER_ID,0))</f>
        <v>.</v>
      </c>
      <c r="T44" s="187" t="s">
        <v>1462</v>
      </c>
      <c r="U44" s="179"/>
      <c r="V44" s="1331"/>
      <c r="W44" s="1332"/>
      <c r="X44" s="1332"/>
      <c r="Y44" s="1332"/>
      <c r="Z44" s="1332"/>
      <c r="AA44" s="1332"/>
      <c r="AB44" s="1332"/>
      <c r="AC44" s="1333"/>
      <c r="AD44" s="1331" t="str">
        <f>INDEX(PT_DIFFERENTIATION_TER,MATCH(B44,PT_DIFFERENTIATION_TER_ID,0))</f>
        <v/>
      </c>
      <c r="AE44" s="1332"/>
      <c r="AF44" s="1332"/>
      <c r="AG44" s="1332"/>
      <c r="AH44" s="1332"/>
      <c r="AI44" s="1332"/>
      <c r="AJ44" s="1332"/>
      <c r="AK44" s="1332"/>
      <c r="AL44" s="1333"/>
      <c r="AM44" s="782" t="s">
        <v>1463</v>
      </c>
      <c r="AO44" s="79"/>
      <c r="AP44" s="79" t="str">
        <f t="shared" si="1"/>
        <v>Территория действия тарифа</v>
      </c>
      <c r="AQ44" s="79"/>
      <c r="AR44" s="79"/>
    </row>
    <row r="45" spans="1:44" ht="23.25" customHeight="1">
      <c r="A45" s="822" t="s">
        <v>165</v>
      </c>
      <c r="B45" s="822" t="s">
        <v>166</v>
      </c>
      <c r="C45" s="822" t="s">
        <v>167</v>
      </c>
      <c r="D45" s="822"/>
      <c r="E45" s="1338"/>
      <c r="F45" s="1338"/>
      <c r="G45" s="1337">
        <v>1</v>
      </c>
      <c r="H45" s="822"/>
      <c r="I45" s="822"/>
      <c r="J45" s="822"/>
      <c r="K45" s="822"/>
      <c r="L45" s="823"/>
      <c r="M45" s="452"/>
      <c r="N45" s="452"/>
      <c r="O45" s="452"/>
      <c r="P45" s="219"/>
      <c r="Q45" s="217"/>
      <c r="R45" s="218"/>
      <c r="S45" s="755" t="str">
        <f>INDEX(PT_DIFFERENTIATION_NUM_CS,MATCH(C45,PT_DIFFERENTIATION_CS_ID,0))</f>
        <v>..</v>
      </c>
      <c r="T45" s="188" t="s">
        <v>1464</v>
      </c>
      <c r="U45" s="179"/>
      <c r="V45" s="1331"/>
      <c r="W45" s="1332"/>
      <c r="X45" s="1332"/>
      <c r="Y45" s="1332"/>
      <c r="Z45" s="1332"/>
      <c r="AA45" s="1332"/>
      <c r="AB45" s="1332"/>
      <c r="AC45" s="1333"/>
      <c r="AD45" s="1331" t="str">
        <f>INDEX(PT_DIFFERENTIATION_CS,MATCH(C45,PT_DIFFERENTIATION_CS_ID,0))</f>
        <v/>
      </c>
      <c r="AE45" s="1332"/>
      <c r="AF45" s="1332"/>
      <c r="AG45" s="1332"/>
      <c r="AH45" s="1332"/>
      <c r="AI45" s="1332"/>
      <c r="AJ45" s="1332"/>
      <c r="AK45" s="1332"/>
      <c r="AL45" s="1333"/>
      <c r="AM45" s="782" t="s">
        <v>1465</v>
      </c>
      <c r="AO45" s="79"/>
      <c r="AP45" s="79" t="str">
        <f t="shared" si="1"/>
        <v xml:space="preserve">Наименование системы теплоснабжения </v>
      </c>
      <c r="AQ45" s="79"/>
      <c r="AR45" s="79"/>
    </row>
    <row r="46" spans="1:44" ht="21" customHeight="1">
      <c r="A46" s="822" t="s">
        <v>165</v>
      </c>
      <c r="B46" s="822" t="s">
        <v>166</v>
      </c>
      <c r="C46" s="822" t="s">
        <v>167</v>
      </c>
      <c r="D46" s="822" t="s">
        <v>168</v>
      </c>
      <c r="E46" s="1338"/>
      <c r="F46" s="1338"/>
      <c r="G46" s="1338"/>
      <c r="H46" s="1337">
        <v>1</v>
      </c>
      <c r="I46" s="822"/>
      <c r="J46" s="822"/>
      <c r="K46" s="822"/>
      <c r="L46" s="823"/>
      <c r="M46" s="452"/>
      <c r="N46" s="452"/>
      <c r="O46" s="452"/>
      <c r="P46" s="219"/>
      <c r="Q46" s="217"/>
      <c r="R46" s="218"/>
      <c r="S46" s="755" t="str">
        <f>INDEX(PT_DIFFERENTIATION_NUM_IST_TE,MATCH(D46,PT_DIFFERENTIATION_IST_TE_ID,0))</f>
        <v>...</v>
      </c>
      <c r="T46" s="189" t="s">
        <v>1466</v>
      </c>
      <c r="U46" s="179"/>
      <c r="V46" s="1331"/>
      <c r="W46" s="1332"/>
      <c r="X46" s="1332"/>
      <c r="Y46" s="1332"/>
      <c r="Z46" s="1332"/>
      <c r="AA46" s="1332"/>
      <c r="AB46" s="1332"/>
      <c r="AC46" s="1333"/>
      <c r="AD46" s="1331" t="str">
        <f>INDEX(PT_DIFFERENTIATION_IST_TE,MATCH(D46,PT_DIFFERENTIATION_IST_TE_ID,0))</f>
        <v/>
      </c>
      <c r="AE46" s="1332"/>
      <c r="AF46" s="1332"/>
      <c r="AG46" s="1332"/>
      <c r="AH46" s="1332"/>
      <c r="AI46" s="1332"/>
      <c r="AJ46" s="1332"/>
      <c r="AK46" s="1332"/>
      <c r="AL46" s="1333"/>
      <c r="AM46" s="782" t="s">
        <v>1467</v>
      </c>
      <c r="AO46" s="79"/>
      <c r="AP46" s="79" t="str">
        <f t="shared" si="1"/>
        <v xml:space="preserve">Источник тепловой энергии  </v>
      </c>
      <c r="AQ46" s="79"/>
      <c r="AR46" s="79"/>
    </row>
    <row r="47" spans="1:44" ht="47.25" customHeight="1">
      <c r="A47" s="822" t="s">
        <v>165</v>
      </c>
      <c r="B47" s="822" t="s">
        <v>166</v>
      </c>
      <c r="C47" s="822" t="s">
        <v>167</v>
      </c>
      <c r="D47" s="822" t="s">
        <v>168</v>
      </c>
      <c r="E47" s="1338"/>
      <c r="F47" s="1338"/>
      <c r="G47" s="1338"/>
      <c r="H47" s="1338"/>
      <c r="I47" s="1339" t="str">
        <f>S46&amp;".1"</f>
        <v>....1</v>
      </c>
      <c r="J47" s="822"/>
      <c r="K47" s="822"/>
      <c r="L47" s="823" t="s">
        <v>1468</v>
      </c>
      <c r="P47" s="1259">
        <v>1</v>
      </c>
      <c r="Q47" s="127"/>
      <c r="R47" s="221"/>
      <c r="S47" s="755" t="str">
        <f>$I47</f>
        <v>....1</v>
      </c>
      <c r="T47" s="172" t="s">
        <v>1469</v>
      </c>
      <c r="U47" s="179"/>
      <c r="V47" s="1326"/>
      <c r="W47" s="1327"/>
      <c r="X47" s="1327"/>
      <c r="Y47" s="1327"/>
      <c r="Z47" s="1327"/>
      <c r="AA47" s="1327"/>
      <c r="AB47" s="1327"/>
      <c r="AC47" s="1328"/>
      <c r="AD47" s="1326"/>
      <c r="AE47" s="1327"/>
      <c r="AF47" s="1327"/>
      <c r="AG47" s="1327"/>
      <c r="AH47" s="1327"/>
      <c r="AI47" s="1327"/>
      <c r="AJ47" s="1327"/>
      <c r="AK47" s="1327"/>
      <c r="AL47" s="1328"/>
      <c r="AM47" s="782" t="s">
        <v>1470</v>
      </c>
      <c r="AO47" s="79"/>
      <c r="AP47" s="79" t="str">
        <f t="shared" si="1"/>
        <v>Схема подключения теплопотребляющей установки к коллектору источника тепловой энергии</v>
      </c>
      <c r="AQ47" s="79"/>
      <c r="AR47" s="79"/>
    </row>
    <row r="48" spans="1:44" ht="21" customHeight="1">
      <c r="A48" s="822" t="s">
        <v>165</v>
      </c>
      <c r="B48" s="822" t="s">
        <v>166</v>
      </c>
      <c r="C48" s="822" t="s">
        <v>167</v>
      </c>
      <c r="D48" s="822" t="s">
        <v>168</v>
      </c>
      <c r="E48" s="1338"/>
      <c r="F48" s="1338"/>
      <c r="G48" s="1338"/>
      <c r="H48" s="1338"/>
      <c r="I48" s="1340"/>
      <c r="J48" s="1339" t="str">
        <f>I47&amp;".1"</f>
        <v>....1.1</v>
      </c>
      <c r="K48" s="822"/>
      <c r="L48" s="823" t="s">
        <v>1471</v>
      </c>
      <c r="P48" s="1259"/>
      <c r="Q48" s="1259">
        <v>1</v>
      </c>
      <c r="R48" s="222"/>
      <c r="S48" s="755" t="str">
        <f>$J48</f>
        <v>....1.1</v>
      </c>
      <c r="T48" s="173" t="s">
        <v>1472</v>
      </c>
      <c r="U48" s="179"/>
      <c r="V48" s="1326"/>
      <c r="W48" s="1327"/>
      <c r="X48" s="1327"/>
      <c r="Y48" s="1327"/>
      <c r="Z48" s="1327"/>
      <c r="AA48" s="1327"/>
      <c r="AB48" s="1327"/>
      <c r="AC48" s="1328"/>
      <c r="AD48" s="1326"/>
      <c r="AE48" s="1327"/>
      <c r="AF48" s="1327"/>
      <c r="AG48" s="1327"/>
      <c r="AH48" s="1327"/>
      <c r="AI48" s="1327"/>
      <c r="AJ48" s="1327"/>
      <c r="AK48" s="1327"/>
      <c r="AL48" s="1328"/>
      <c r="AM48" s="782" t="s">
        <v>1473</v>
      </c>
      <c r="AO48" s="79"/>
      <c r="AP48" s="79" t="str">
        <f t="shared" si="1"/>
        <v>Группа потребителей</v>
      </c>
      <c r="AQ48" s="79"/>
      <c r="AR48" s="79"/>
    </row>
    <row r="49" spans="1:44" ht="21" customHeight="1">
      <c r="A49" s="822" t="s">
        <v>165</v>
      </c>
      <c r="B49" s="822" t="s">
        <v>166</v>
      </c>
      <c r="C49" s="822" t="s">
        <v>167</v>
      </c>
      <c r="D49" s="822" t="s">
        <v>168</v>
      </c>
      <c r="E49" s="1338"/>
      <c r="F49" s="1338"/>
      <c r="G49" s="1338"/>
      <c r="H49" s="1338"/>
      <c r="I49" s="1340"/>
      <c r="J49" s="1340"/>
      <c r="K49" s="1339" t="str">
        <f>J48&amp;".1"</f>
        <v>....1.1.1</v>
      </c>
      <c r="L49" s="823" t="s">
        <v>1474</v>
      </c>
      <c r="P49" s="1259"/>
      <c r="Q49" s="1259"/>
      <c r="R49" s="222">
        <v>1</v>
      </c>
      <c r="S49" s="755" t="str">
        <f>$K49</f>
        <v>....1.1.1</v>
      </c>
      <c r="T49" s="821"/>
      <c r="U49" s="179"/>
      <c r="V49" s="1054"/>
      <c r="W49" s="1055"/>
      <c r="X49" s="1054"/>
      <c r="Y49" s="1056"/>
      <c r="Z49" s="1341"/>
      <c r="AA49" s="1133" t="s">
        <v>67</v>
      </c>
      <c r="AB49" s="1341"/>
      <c r="AC49" s="1133" t="s">
        <v>67</v>
      </c>
      <c r="AD49" s="1054"/>
      <c r="AE49" s="1055"/>
      <c r="AF49" s="1054"/>
      <c r="AG49" s="1056"/>
      <c r="AH49" s="1341"/>
      <c r="AI49" s="1133" t="s">
        <v>67</v>
      </c>
      <c r="AJ49" s="1343"/>
      <c r="AK49" s="1133" t="s">
        <v>67</v>
      </c>
      <c r="AL49" s="1060"/>
      <c r="AM49" s="1359" t="s">
        <v>1475</v>
      </c>
      <c r="AN49" s="77" t="e">
        <f ca="1">STRCHECKDATE(V50:AL50)</f>
        <v>#NAME?</v>
      </c>
      <c r="AO49" s="79"/>
      <c r="AP49" s="79" t="str">
        <f t="shared" si="1"/>
        <v/>
      </c>
      <c r="AQ49" s="79"/>
      <c r="AR49" s="79"/>
    </row>
    <row r="50" spans="1:44" ht="0.75" customHeight="1">
      <c r="A50" s="822" t="s">
        <v>165</v>
      </c>
      <c r="B50" s="822" t="s">
        <v>166</v>
      </c>
      <c r="C50" s="822" t="s">
        <v>167</v>
      </c>
      <c r="D50" s="822" t="s">
        <v>168</v>
      </c>
      <c r="E50" s="1338"/>
      <c r="F50" s="1338"/>
      <c r="G50" s="1338"/>
      <c r="H50" s="1338"/>
      <c r="I50" s="1340"/>
      <c r="J50" s="1340"/>
      <c r="K50" s="1339"/>
      <c r="L50" s="823"/>
      <c r="P50" s="1259"/>
      <c r="Q50" s="1259"/>
      <c r="R50" s="222"/>
      <c r="S50" s="74"/>
      <c r="T50" s="179"/>
      <c r="U50" s="179"/>
      <c r="V50" s="1055"/>
      <c r="W50" s="1055"/>
      <c r="X50" s="1055"/>
      <c r="Y50" s="1057" t="str">
        <f>Z49&amp;"-"&amp;AB49</f>
        <v>-</v>
      </c>
      <c r="Z50" s="1342"/>
      <c r="AA50" s="1133"/>
      <c r="AB50" s="1342"/>
      <c r="AC50" s="1133"/>
      <c r="AD50" s="1055"/>
      <c r="AE50" s="1055"/>
      <c r="AF50" s="1055"/>
      <c r="AG50" s="1057" t="str">
        <f>AH49&amp;"-"&amp;AJ49</f>
        <v>-</v>
      </c>
      <c r="AH50" s="1342"/>
      <c r="AI50" s="1133"/>
      <c r="AJ50" s="1344"/>
      <c r="AK50" s="1133"/>
      <c r="AL50" s="1061"/>
      <c r="AM50" s="1360"/>
      <c r="AO50" s="79"/>
      <c r="AP50" s="79" t="str">
        <f t="shared" si="1"/>
        <v/>
      </c>
      <c r="AQ50" s="79"/>
      <c r="AR50" s="79"/>
    </row>
    <row r="51" spans="1:44" ht="11.25" customHeight="1">
      <c r="A51" s="822" t="s">
        <v>165</v>
      </c>
      <c r="B51" s="822" t="s">
        <v>166</v>
      </c>
      <c r="C51" s="822" t="s">
        <v>167</v>
      </c>
      <c r="D51" s="822" t="s">
        <v>168</v>
      </c>
      <c r="E51" s="1338"/>
      <c r="F51" s="1338"/>
      <c r="G51" s="1338"/>
      <c r="H51" s="1338"/>
      <c r="I51" s="1340"/>
      <c r="J51" s="1339"/>
      <c r="K51" s="822"/>
      <c r="L51" s="823"/>
      <c r="P51" s="1259"/>
      <c r="Q51" s="1259"/>
      <c r="R51" s="221"/>
      <c r="S51" s="796"/>
      <c r="T51" s="175" t="s">
        <v>1476</v>
      </c>
      <c r="U51" s="228"/>
      <c r="V51" s="228"/>
      <c r="W51" s="228"/>
      <c r="X51" s="228"/>
      <c r="Y51" s="228"/>
      <c r="Z51" s="228"/>
      <c r="AA51" s="228"/>
      <c r="AB51" s="228"/>
      <c r="AC51" s="228"/>
      <c r="AD51" s="228"/>
      <c r="AE51" s="228"/>
      <c r="AF51" s="228"/>
      <c r="AG51" s="228"/>
      <c r="AH51" s="228"/>
      <c r="AI51" s="228"/>
      <c r="AJ51" s="228"/>
      <c r="AK51" s="228"/>
      <c r="AL51" s="204"/>
      <c r="AM51" s="1361"/>
      <c r="AO51" s="79"/>
      <c r="AP51" s="79" t="str">
        <f t="shared" si="1"/>
        <v>Добавить вид теплоносителя (параметры теплоносителя)</v>
      </c>
      <c r="AQ51" s="79"/>
      <c r="AR51" s="79"/>
    </row>
    <row r="52" spans="1:44" ht="11.25" customHeight="1">
      <c r="A52" s="822" t="s">
        <v>165</v>
      </c>
      <c r="B52" s="822" t="s">
        <v>166</v>
      </c>
      <c r="C52" s="822" t="s">
        <v>167</v>
      </c>
      <c r="D52" s="822" t="s">
        <v>168</v>
      </c>
      <c r="E52" s="1338"/>
      <c r="F52" s="1338"/>
      <c r="G52" s="1338"/>
      <c r="H52" s="1338"/>
      <c r="I52" s="1339"/>
      <c r="J52" s="822"/>
      <c r="K52" s="822"/>
      <c r="L52" s="823"/>
      <c r="P52" s="1259"/>
      <c r="Q52" s="127"/>
      <c r="R52" s="221"/>
      <c r="S52" s="796"/>
      <c r="T52" s="174" t="s">
        <v>1477</v>
      </c>
      <c r="U52" s="228"/>
      <c r="V52" s="228"/>
      <c r="W52" s="228"/>
      <c r="X52" s="228"/>
      <c r="Y52" s="228"/>
      <c r="Z52" s="228"/>
      <c r="AA52" s="228"/>
      <c r="AB52" s="228"/>
      <c r="AC52" s="205"/>
      <c r="AD52" s="228"/>
      <c r="AE52" s="228"/>
      <c r="AF52" s="228"/>
      <c r="AG52" s="228"/>
      <c r="AH52" s="228"/>
      <c r="AI52" s="228"/>
      <c r="AJ52" s="228"/>
      <c r="AK52" s="205"/>
      <c r="AL52" s="228"/>
      <c r="AM52" s="182"/>
      <c r="AO52" s="79"/>
      <c r="AP52" s="79" t="str">
        <f t="shared" si="1"/>
        <v>Добавить группу потребителей</v>
      </c>
      <c r="AQ52" s="79"/>
      <c r="AR52" s="79"/>
    </row>
    <row r="53" spans="1:44" ht="14.25" customHeight="1">
      <c r="A53" s="822" t="s">
        <v>165</v>
      </c>
      <c r="B53" s="822" t="s">
        <v>166</v>
      </c>
      <c r="C53" s="822" t="s">
        <v>167</v>
      </c>
      <c r="D53" s="822" t="s">
        <v>168</v>
      </c>
      <c r="E53" s="1338"/>
      <c r="F53" s="1338"/>
      <c r="G53" s="1338"/>
      <c r="H53" s="1337"/>
      <c r="I53" s="822"/>
      <c r="J53" s="822"/>
      <c r="K53" s="822"/>
      <c r="L53" s="823"/>
      <c r="M53" s="452"/>
      <c r="N53" s="452"/>
      <c r="O53" s="72"/>
      <c r="P53" s="43"/>
      <c r="Q53" s="231"/>
      <c r="R53" s="220"/>
      <c r="S53" s="796"/>
      <c r="T53" s="226" t="s">
        <v>1478</v>
      </c>
      <c r="U53" s="228"/>
      <c r="V53" s="228"/>
      <c r="W53" s="228"/>
      <c r="X53" s="228"/>
      <c r="Y53" s="228"/>
      <c r="Z53" s="228"/>
      <c r="AA53" s="228"/>
      <c r="AB53" s="228"/>
      <c r="AC53" s="205"/>
      <c r="AD53" s="228"/>
      <c r="AE53" s="228"/>
      <c r="AF53" s="228"/>
      <c r="AG53" s="228"/>
      <c r="AH53" s="228"/>
      <c r="AI53" s="228"/>
      <c r="AJ53" s="228"/>
      <c r="AK53" s="205"/>
      <c r="AL53" s="228"/>
      <c r="AM53" s="182"/>
      <c r="AO53" s="79"/>
      <c r="AP53" s="79" t="str">
        <f t="shared" si="1"/>
        <v>Добавить схему подключения</v>
      </c>
      <c r="AQ53" s="79"/>
      <c r="AR53" s="79"/>
    </row>
    <row r="54" spans="1:44" s="77" customFormat="1" ht="0.75" customHeight="1">
      <c r="A54" s="150" t="s">
        <v>165</v>
      </c>
      <c r="B54" s="150" t="s">
        <v>166</v>
      </c>
      <c r="C54" s="150" t="s">
        <v>167</v>
      </c>
      <c r="D54" s="150"/>
      <c r="E54" s="1338"/>
      <c r="F54" s="1338"/>
      <c r="G54" s="1337"/>
      <c r="H54" s="150"/>
      <c r="I54" s="150"/>
      <c r="J54" s="150"/>
      <c r="K54" s="150"/>
      <c r="L54" s="373"/>
      <c r="M54" s="318"/>
      <c r="N54" s="318"/>
      <c r="P54" s="111"/>
      <c r="Q54" s="811"/>
      <c r="R54" s="111"/>
      <c r="S54" s="816"/>
      <c r="T54" s="818" t="s">
        <v>1437</v>
      </c>
      <c r="U54" s="338"/>
      <c r="V54" s="338"/>
      <c r="W54" s="338"/>
      <c r="X54" s="338"/>
      <c r="Y54" s="338"/>
      <c r="Z54" s="338"/>
      <c r="AA54" s="338"/>
      <c r="AB54" s="338"/>
      <c r="AC54" s="338"/>
      <c r="AD54" s="338"/>
      <c r="AE54" s="338"/>
      <c r="AF54" s="338"/>
      <c r="AG54" s="338"/>
      <c r="AH54" s="338"/>
      <c r="AI54" s="338"/>
      <c r="AJ54" s="338"/>
      <c r="AK54" s="338"/>
      <c r="AL54" s="338"/>
      <c r="AM54" s="338"/>
      <c r="AO54" s="79"/>
      <c r="AP54" s="79" t="str">
        <f t="shared" si="1"/>
        <v>Добавить источник для дифференциации</v>
      </c>
      <c r="AQ54" s="79"/>
      <c r="AR54" s="79"/>
    </row>
    <row r="55" spans="1:44" s="77" customFormat="1" ht="0.75" customHeight="1">
      <c r="A55" s="150" t="s">
        <v>165</v>
      </c>
      <c r="B55" s="150" t="s">
        <v>166</v>
      </c>
      <c r="C55" s="150"/>
      <c r="D55" s="150"/>
      <c r="E55" s="1338"/>
      <c r="F55" s="1337"/>
      <c r="G55" s="150"/>
      <c r="H55" s="150"/>
      <c r="I55" s="150"/>
      <c r="J55" s="150"/>
      <c r="K55" s="150"/>
      <c r="L55" s="373"/>
      <c r="M55" s="815"/>
      <c r="N55" s="815"/>
      <c r="P55" s="111"/>
      <c r="Q55" s="811"/>
      <c r="R55" s="111"/>
      <c r="S55" s="816"/>
      <c r="T55" s="818" t="s">
        <v>1438</v>
      </c>
      <c r="U55" s="338"/>
      <c r="V55" s="338"/>
      <c r="W55" s="338"/>
      <c r="X55" s="338"/>
      <c r="Y55" s="338"/>
      <c r="Z55" s="338"/>
      <c r="AA55" s="338"/>
      <c r="AB55" s="338"/>
      <c r="AC55" s="338"/>
      <c r="AD55" s="338"/>
      <c r="AE55" s="338"/>
      <c r="AF55" s="338"/>
      <c r="AG55" s="338"/>
      <c r="AH55" s="338"/>
      <c r="AI55" s="338"/>
      <c r="AJ55" s="338"/>
      <c r="AK55" s="338"/>
      <c r="AL55" s="338"/>
      <c r="AM55" s="338"/>
      <c r="AO55" s="79"/>
      <c r="AP55" s="79" t="str">
        <f t="shared" si="1"/>
        <v>Добавить централизованную систему для дифференциации</v>
      </c>
      <c r="AQ55" s="79"/>
      <c r="AR55" s="79"/>
    </row>
    <row r="56" spans="1:44" s="77" customFormat="1" ht="0.75" customHeight="1">
      <c r="A56" s="150" t="s">
        <v>165</v>
      </c>
      <c r="B56" s="150"/>
      <c r="C56" s="150"/>
      <c r="D56" s="150"/>
      <c r="E56" s="1337"/>
      <c r="F56" s="150"/>
      <c r="G56" s="150"/>
      <c r="H56" s="150"/>
      <c r="I56" s="150"/>
      <c r="J56" s="150"/>
      <c r="K56" s="150"/>
      <c r="L56" s="373"/>
      <c r="M56" s="815"/>
      <c r="N56" s="815"/>
      <c r="P56" s="111"/>
      <c r="Q56" s="811"/>
      <c r="R56" s="111"/>
      <c r="S56" s="816"/>
      <c r="T56" s="818" t="s">
        <v>1439</v>
      </c>
      <c r="U56" s="338"/>
      <c r="V56" s="338"/>
      <c r="W56" s="338"/>
      <c r="X56" s="338"/>
      <c r="Y56" s="338"/>
      <c r="Z56" s="338"/>
      <c r="AA56" s="338"/>
      <c r="AB56" s="338"/>
      <c r="AC56" s="338"/>
      <c r="AD56" s="338"/>
      <c r="AE56" s="338"/>
      <c r="AF56" s="338"/>
      <c r="AG56" s="338"/>
      <c r="AH56" s="338"/>
      <c r="AI56" s="338"/>
      <c r="AJ56" s="338"/>
      <c r="AK56" s="338"/>
      <c r="AL56" s="338"/>
      <c r="AM56" s="338"/>
      <c r="AO56" s="79"/>
      <c r="AP56" s="79" t="str">
        <f t="shared" si="1"/>
        <v>Добавить территорию для дифференциации</v>
      </c>
      <c r="AQ56" s="79"/>
      <c r="AR56" s="79"/>
    </row>
    <row r="57" spans="1:44" s="77" customFormat="1" ht="0.75" customHeight="1">
      <c r="A57" s="150"/>
      <c r="B57" s="150"/>
      <c r="C57" s="150"/>
      <c r="D57" s="150"/>
      <c r="E57" s="150"/>
      <c r="F57" s="150"/>
      <c r="G57" s="150"/>
      <c r="H57" s="150"/>
      <c r="I57" s="150"/>
      <c r="J57" s="150"/>
      <c r="K57" s="150"/>
      <c r="L57" s="373"/>
      <c r="M57" s="815"/>
      <c r="N57" s="815"/>
      <c r="P57" s="111"/>
      <c r="Q57" s="811"/>
      <c r="R57" s="111"/>
      <c r="S57" s="816"/>
      <c r="T57" s="818" t="s">
        <v>1440</v>
      </c>
      <c r="U57" s="338"/>
      <c r="V57" s="338"/>
      <c r="W57" s="338"/>
      <c r="X57" s="338"/>
      <c r="Y57" s="338"/>
      <c r="Z57" s="338"/>
      <c r="AA57" s="338"/>
      <c r="AB57" s="338"/>
      <c r="AC57" s="338"/>
      <c r="AD57" s="338"/>
      <c r="AE57" s="338"/>
      <c r="AF57" s="338"/>
      <c r="AG57" s="338"/>
      <c r="AH57" s="338"/>
      <c r="AI57" s="338"/>
      <c r="AJ57" s="338"/>
      <c r="AK57" s="338"/>
      <c r="AL57" s="338"/>
      <c r="AM57" s="338"/>
      <c r="AO57" s="79"/>
      <c r="AP57" s="79" t="str">
        <f t="shared" si="1"/>
        <v>Добавить наименование тарифа</v>
      </c>
      <c r="AQ57" s="79"/>
      <c r="AR57" s="79"/>
    </row>
    <row r="58" spans="1:44" ht="11.25" hidden="1" customHeight="1">
      <c r="M58" s="72"/>
      <c r="N58" s="72"/>
      <c r="O58" s="72"/>
      <c r="P58" s="24"/>
      <c r="Q58" s="24"/>
      <c r="R58" s="24"/>
      <c r="S58" s="24"/>
      <c r="AN58" s="24"/>
      <c r="AO58" s="24"/>
      <c r="AP58" s="24"/>
      <c r="AQ58" s="24"/>
      <c r="AR58" s="24"/>
    </row>
    <row r="59" spans="1:44" ht="27" hidden="1" customHeight="1">
      <c r="O59" s="72"/>
      <c r="S59" s="210" t="s">
        <v>1510</v>
      </c>
      <c r="T59" s="1336" t="s">
        <v>1517</v>
      </c>
      <c r="U59" s="1336"/>
      <c r="V59" s="1336"/>
      <c r="W59" s="1336"/>
      <c r="X59" s="1336"/>
      <c r="Y59" s="1336"/>
      <c r="Z59" s="1336"/>
      <c r="AA59" s="1336"/>
      <c r="AB59" s="1336"/>
      <c r="AC59" s="1336"/>
      <c r="AD59" s="1336"/>
      <c r="AE59" s="1336"/>
      <c r="AF59" s="1336"/>
      <c r="AG59" s="1336"/>
      <c r="AH59" s="1336"/>
      <c r="AI59" s="1336"/>
      <c r="AJ59" s="1336"/>
      <c r="AK59" s="1336"/>
      <c r="AL59" s="1336"/>
      <c r="AM59" s="1336"/>
    </row>
    <row r="60" spans="1:44" ht="62.25" hidden="1" customHeight="1">
      <c r="O60" s="72"/>
      <c r="T60" s="1336" t="s">
        <v>1512</v>
      </c>
      <c r="U60" s="1336"/>
      <c r="V60" s="1336"/>
      <c r="W60" s="1336"/>
      <c r="X60" s="1336"/>
      <c r="Y60" s="1336"/>
      <c r="Z60" s="1336"/>
      <c r="AA60" s="1336"/>
      <c r="AB60" s="1336"/>
      <c r="AC60" s="1336"/>
      <c r="AD60" s="1336"/>
      <c r="AE60" s="1336"/>
      <c r="AF60" s="1336"/>
      <c r="AG60" s="1336"/>
      <c r="AH60" s="1336"/>
      <c r="AI60" s="1336"/>
      <c r="AJ60" s="1336"/>
      <c r="AK60" s="1336"/>
      <c r="AL60" s="1336"/>
      <c r="AM60" s="1336"/>
    </row>
    <row r="61" spans="1:44" ht="14.25" hidden="1" customHeight="1">
      <c r="O61" s="72"/>
    </row>
    <row r="62" spans="1:44" ht="18" hidden="1" customHeight="1">
      <c r="O62" s="72"/>
      <c r="S62" s="210" t="s">
        <v>1510</v>
      </c>
      <c r="T62" s="1336" t="s">
        <v>1513</v>
      </c>
      <c r="U62" s="1336"/>
      <c r="V62" s="1336"/>
      <c r="W62" s="1336"/>
      <c r="X62" s="1336"/>
      <c r="Y62" s="1336"/>
      <c r="Z62" s="1336"/>
      <c r="AA62" s="1336"/>
      <c r="AB62" s="1336"/>
      <c r="AC62" s="1336"/>
      <c r="AD62" s="1336"/>
      <c r="AE62" s="1336"/>
      <c r="AF62" s="1336"/>
      <c r="AG62" s="1336"/>
      <c r="AH62" s="1336"/>
      <c r="AI62" s="1336"/>
      <c r="AJ62" s="1336"/>
      <c r="AK62" s="1336"/>
      <c r="AL62" s="1336"/>
      <c r="AM62" s="1336"/>
    </row>
    <row r="63" spans="1:44" ht="18" hidden="1" customHeight="1">
      <c r="O63" s="72"/>
      <c r="T63" s="1336" t="s">
        <v>1514</v>
      </c>
      <c r="U63" s="1336"/>
      <c r="V63" s="1336"/>
      <c r="W63" s="1336"/>
      <c r="X63" s="1336"/>
      <c r="Y63" s="1336"/>
      <c r="Z63" s="1336"/>
      <c r="AA63" s="1336"/>
      <c r="AB63" s="1336"/>
      <c r="AC63" s="1336"/>
      <c r="AD63" s="1336"/>
      <c r="AE63" s="1336"/>
      <c r="AF63" s="1336"/>
      <c r="AG63" s="1336"/>
      <c r="AH63" s="1336"/>
      <c r="AI63" s="1336"/>
      <c r="AJ63" s="1336"/>
      <c r="AK63" s="1336"/>
      <c r="AL63" s="1336"/>
      <c r="AM63" s="1336"/>
    </row>
    <row r="64" spans="1:44" ht="27.75" hidden="1" customHeight="1">
      <c r="O64" s="72"/>
      <c r="S64" s="210"/>
      <c r="T64" s="1336" t="s">
        <v>1515</v>
      </c>
      <c r="U64" s="1336"/>
      <c r="V64" s="1336"/>
      <c r="W64" s="1336"/>
      <c r="X64" s="1336"/>
      <c r="Y64" s="1336"/>
      <c r="Z64" s="1336"/>
      <c r="AA64" s="1336"/>
      <c r="AB64" s="1336"/>
      <c r="AC64" s="1336"/>
      <c r="AD64" s="1336"/>
      <c r="AE64" s="1336"/>
      <c r="AF64" s="1336"/>
      <c r="AG64" s="1336"/>
      <c r="AH64" s="1336"/>
      <c r="AI64" s="1336"/>
      <c r="AJ64" s="1336"/>
      <c r="AK64" s="1336"/>
      <c r="AL64" s="1336"/>
      <c r="AM64" s="1336"/>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10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0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835B05-62DB-98A4-2A9B-C7BD04257426}">
  <sheetPr>
    <tabColor theme="6" tint="0.39997558519241921"/>
  </sheetPr>
  <dimension ref="A1:AR64"/>
  <sheetViews>
    <sheetView showGridLines="0" topLeftCell="P25" zoomScale="90" workbookViewId="0"/>
  </sheetViews>
  <sheetFormatPr defaultColWidth="10.5703125" defaultRowHeight="14.25" customHeight="1"/>
  <cols>
    <col min="1" max="1" width="10.5703125" style="72" hidden="1"/>
    <col min="2" max="2" width="11" style="72" hidden="1" customWidth="1"/>
    <col min="3" max="3" width="10.5703125" style="72" hidden="1"/>
    <col min="4" max="4" width="11.85546875" style="72" hidden="1" customWidth="1"/>
    <col min="5" max="5" width="10" style="72" hidden="1" customWidth="1"/>
    <col min="6" max="6" width="8.7109375" style="72" hidden="1" customWidth="1"/>
    <col min="7" max="7" width="7.5703125" style="72" hidden="1" customWidth="1"/>
    <col min="8" max="8" width="11.42578125" style="72" hidden="1" customWidth="1"/>
    <col min="9" max="9" width="12" style="72" hidden="1" customWidth="1"/>
    <col min="10" max="10" width="9.85546875" style="72" hidden="1" customWidth="1"/>
    <col min="11" max="11" width="11.42578125" style="72" hidden="1" customWidth="1"/>
    <col min="12" max="12" width="19.140625" style="388" hidden="1" customWidth="1"/>
    <col min="13" max="14" width="12.28515625" style="541" hidden="1" customWidth="1"/>
    <col min="15" max="15" width="23.42578125" style="541" hidden="1" customWidth="1"/>
    <col min="16" max="16" width="3.7109375" style="42" customWidth="1"/>
    <col min="17" max="18" width="3.7109375" style="37" customWidth="1"/>
    <col min="19" max="19" width="12.7109375" style="368" customWidth="1"/>
    <col min="20" max="20" width="32" style="24" customWidth="1"/>
    <col min="21" max="22" width="0.140625" style="24" customWidth="1"/>
    <col min="23" max="23" width="24.7109375" style="24" hidden="1" customWidth="1"/>
    <col min="24" max="25" width="0.140625" style="24" hidden="1" customWidth="1"/>
    <col min="26" max="26" width="11.7109375" style="24" hidden="1" customWidth="1"/>
    <col min="27" max="27" width="3.7109375" style="24" hidden="1" customWidth="1"/>
    <col min="28" max="28" width="11.7109375" style="24" hidden="1" customWidth="1"/>
    <col min="29" max="29" width="8.5703125" style="24" hidden="1" customWidth="1"/>
    <col min="30" max="30" width="0.140625" style="24" customWidth="1"/>
    <col min="31" max="31" width="24.7109375" style="24" customWidth="1"/>
    <col min="32" max="33" width="0.140625" style="24" customWidth="1"/>
    <col min="34" max="34" width="11.7109375" style="24" customWidth="1"/>
    <col min="35" max="35" width="3.7109375" style="24" customWidth="1"/>
    <col min="36" max="36" width="11.7109375" style="24" customWidth="1"/>
    <col min="37" max="37" width="8.5703125" style="24" hidden="1" customWidth="1"/>
    <col min="38" max="38" width="4.7109375" style="24" customWidth="1"/>
    <col min="39" max="39" width="115.7109375" style="24" customWidth="1"/>
    <col min="40" max="41" width="10.5703125" style="77"/>
    <col min="42" max="42" width="11.140625" style="77" customWidth="1"/>
    <col min="43" max="44" width="10.5703125" style="77"/>
  </cols>
  <sheetData>
    <row r="1" spans="1:44" ht="14.25" hidden="1" customHeight="1"/>
    <row r="2" spans="1:44" ht="21" hidden="1" customHeight="1">
      <c r="A2" s="822"/>
      <c r="B2" s="822"/>
      <c r="C2" s="822"/>
      <c r="D2" s="822"/>
      <c r="E2" s="1337">
        <v>1</v>
      </c>
      <c r="F2" s="822"/>
      <c r="G2" s="822"/>
      <c r="H2" s="822"/>
      <c r="I2" s="822"/>
      <c r="J2" s="822"/>
      <c r="K2" s="822"/>
      <c r="L2" s="823"/>
      <c r="M2" s="452"/>
      <c r="N2" s="452"/>
      <c r="O2" s="452"/>
      <c r="Q2" s="43"/>
      <c r="R2" s="220"/>
      <c r="S2" s="755" t="e">
        <f>INDEX(PT_DIFFERENTIATION_NUM_NTAR,MATCH(A2,PT_DIFFERENTIATION_NTAR_ID,0))</f>
        <v>#N/A</v>
      </c>
      <c r="T2" s="76" t="s">
        <v>124</v>
      </c>
      <c r="U2" s="179"/>
      <c r="V2" s="1331"/>
      <c r="W2" s="1332"/>
      <c r="X2" s="1332"/>
      <c r="Y2" s="1332"/>
      <c r="Z2" s="1332"/>
      <c r="AA2" s="1332"/>
      <c r="AB2" s="1332"/>
      <c r="AC2" s="1333"/>
      <c r="AD2" s="1331" t="e">
        <f>INDEX(PT_DIFFERENTIATION_NTAR,MATCH(A2,PT_DIFFERENTIATION_NTAR_ID,0))</f>
        <v>#N/A</v>
      </c>
      <c r="AE2" s="1332"/>
      <c r="AF2" s="1332"/>
      <c r="AG2" s="1332"/>
      <c r="AH2" s="1332"/>
      <c r="AI2" s="1332"/>
      <c r="AJ2" s="1332"/>
      <c r="AK2" s="1332"/>
      <c r="AL2" s="1333"/>
      <c r="AM2" s="782" t="s">
        <v>1461</v>
      </c>
      <c r="AO2" s="79"/>
      <c r="AP2" s="79" t="str">
        <f t="shared" ref="AP2:AP15" si="0">IF(T2="","",T2)</f>
        <v>Наименование тарифа</v>
      </c>
      <c r="AQ2" s="79"/>
      <c r="AR2" s="79"/>
    </row>
    <row r="3" spans="1:44" ht="21" hidden="1" customHeight="1">
      <c r="A3" s="822"/>
      <c r="B3" s="822"/>
      <c r="C3" s="822"/>
      <c r="D3" s="822"/>
      <c r="E3" s="1338"/>
      <c r="F3" s="1337">
        <v>1</v>
      </c>
      <c r="G3" s="822"/>
      <c r="H3" s="822"/>
      <c r="I3" s="822"/>
      <c r="J3" s="822"/>
      <c r="K3" s="822"/>
      <c r="L3" s="823"/>
      <c r="M3" s="452"/>
      <c r="N3" s="452"/>
      <c r="O3" s="452"/>
      <c r="P3" s="68"/>
      <c r="Q3" s="217"/>
      <c r="R3" s="218"/>
      <c r="S3" s="755" t="e">
        <f>INDEX(PT_DIFFERENTIATION_NUM_TER,MATCH(B3,PT_DIFFERENTIATION_TER_ID,0))</f>
        <v>#N/A</v>
      </c>
      <c r="T3" s="187" t="s">
        <v>1462</v>
      </c>
      <c r="U3" s="179"/>
      <c r="V3" s="1331"/>
      <c r="W3" s="1332"/>
      <c r="X3" s="1332"/>
      <c r="Y3" s="1332"/>
      <c r="Z3" s="1332"/>
      <c r="AA3" s="1332"/>
      <c r="AB3" s="1332"/>
      <c r="AC3" s="1333"/>
      <c r="AD3" s="1331" t="e">
        <f>INDEX(PT_DIFFERENTIATION_TER,MATCH(B3,PT_DIFFERENTIATION_TER_ID,0))</f>
        <v>#N/A</v>
      </c>
      <c r="AE3" s="1332"/>
      <c r="AF3" s="1332"/>
      <c r="AG3" s="1332"/>
      <c r="AH3" s="1332"/>
      <c r="AI3" s="1332"/>
      <c r="AJ3" s="1332"/>
      <c r="AK3" s="1332"/>
      <c r="AL3" s="1333"/>
      <c r="AM3" s="782" t="s">
        <v>1463</v>
      </c>
      <c r="AO3" s="79"/>
      <c r="AP3" s="79" t="str">
        <f t="shared" si="0"/>
        <v>Территория действия тарифа</v>
      </c>
      <c r="AQ3" s="79"/>
      <c r="AR3" s="79"/>
    </row>
    <row r="4" spans="1:44" ht="23.25" hidden="1" customHeight="1">
      <c r="A4" s="822"/>
      <c r="B4" s="822"/>
      <c r="C4" s="822"/>
      <c r="D4" s="822"/>
      <c r="E4" s="1338"/>
      <c r="F4" s="1338"/>
      <c r="G4" s="1337">
        <v>1</v>
      </c>
      <c r="H4" s="822"/>
      <c r="I4" s="822"/>
      <c r="J4" s="822"/>
      <c r="K4" s="822"/>
      <c r="L4" s="823"/>
      <c r="M4" s="452"/>
      <c r="N4" s="452"/>
      <c r="O4" s="452"/>
      <c r="P4" s="219"/>
      <c r="Q4" s="217"/>
      <c r="R4" s="218"/>
      <c r="S4" s="755" t="e">
        <f>INDEX(PT_DIFFERENTIATION_NUM_CS,MATCH(C4,PT_DIFFERENTIATION_CS_ID,0))</f>
        <v>#N/A</v>
      </c>
      <c r="T4" s="188" t="s">
        <v>1464</v>
      </c>
      <c r="U4" s="179"/>
      <c r="V4" s="1331"/>
      <c r="W4" s="1332"/>
      <c r="X4" s="1332"/>
      <c r="Y4" s="1332"/>
      <c r="Z4" s="1332"/>
      <c r="AA4" s="1332"/>
      <c r="AB4" s="1332"/>
      <c r="AC4" s="1333"/>
      <c r="AD4" s="1331" t="e">
        <f>INDEX(PT_DIFFERENTIATION_CS,MATCH(C4,PT_DIFFERENTIATION_CS_ID,0))</f>
        <v>#N/A</v>
      </c>
      <c r="AE4" s="1332"/>
      <c r="AF4" s="1332"/>
      <c r="AG4" s="1332"/>
      <c r="AH4" s="1332"/>
      <c r="AI4" s="1332"/>
      <c r="AJ4" s="1332"/>
      <c r="AK4" s="1332"/>
      <c r="AL4" s="1333"/>
      <c r="AM4" s="782" t="s">
        <v>1465</v>
      </c>
      <c r="AO4" s="79"/>
      <c r="AP4" s="79" t="str">
        <f t="shared" si="0"/>
        <v xml:space="preserve">Наименование системы теплоснабжения </v>
      </c>
      <c r="AQ4" s="79"/>
      <c r="AR4" s="79"/>
    </row>
    <row r="5" spans="1:44" ht="21" hidden="1" customHeight="1">
      <c r="A5" s="822"/>
      <c r="B5" s="822"/>
      <c r="C5" s="822"/>
      <c r="D5" s="822"/>
      <c r="E5" s="1338"/>
      <c r="F5" s="1338"/>
      <c r="G5" s="1338"/>
      <c r="H5" s="1337">
        <v>1</v>
      </c>
      <c r="I5" s="822"/>
      <c r="J5" s="822"/>
      <c r="K5" s="822"/>
      <c r="L5" s="823"/>
      <c r="M5" s="452"/>
      <c r="N5" s="452"/>
      <c r="O5" s="452"/>
      <c r="P5" s="219"/>
      <c r="Q5" s="217"/>
      <c r="R5" s="218"/>
      <c r="S5" s="755" t="e">
        <f>INDEX(PT_DIFFERENTIATION_NUM_IST_TE,MATCH(D5,PT_DIFFERENTIATION_IST_TE_ID,0))</f>
        <v>#N/A</v>
      </c>
      <c r="T5" s="189" t="s">
        <v>1466</v>
      </c>
      <c r="U5" s="179"/>
      <c r="V5" s="1331"/>
      <c r="W5" s="1332"/>
      <c r="X5" s="1332"/>
      <c r="Y5" s="1332"/>
      <c r="Z5" s="1332"/>
      <c r="AA5" s="1332"/>
      <c r="AB5" s="1332"/>
      <c r="AC5" s="1333"/>
      <c r="AD5" s="1331" t="e">
        <f>INDEX(PT_DIFFERENTIATION_IST_TE,MATCH(D5,PT_DIFFERENTIATION_IST_TE_ID,0))</f>
        <v>#N/A</v>
      </c>
      <c r="AE5" s="1332"/>
      <c r="AF5" s="1332"/>
      <c r="AG5" s="1332"/>
      <c r="AH5" s="1332"/>
      <c r="AI5" s="1332"/>
      <c r="AJ5" s="1332"/>
      <c r="AK5" s="1332"/>
      <c r="AL5" s="1333"/>
      <c r="AM5" s="782" t="s">
        <v>1467</v>
      </c>
      <c r="AO5" s="79"/>
      <c r="AP5" s="79" t="str">
        <f t="shared" si="0"/>
        <v xml:space="preserve">Источник тепловой энергии  </v>
      </c>
      <c r="AQ5" s="79"/>
      <c r="AR5" s="79"/>
    </row>
    <row r="6" spans="1:44" ht="47.25" hidden="1" customHeight="1">
      <c r="A6" s="822"/>
      <c r="B6" s="822"/>
      <c r="C6" s="822"/>
      <c r="D6" s="822"/>
      <c r="E6" s="1338"/>
      <c r="F6" s="1338"/>
      <c r="G6" s="1338"/>
      <c r="H6" s="1338"/>
      <c r="I6" s="1339" t="e">
        <f>S5&amp;".1"</f>
        <v>#N/A</v>
      </c>
      <c r="J6" s="822"/>
      <c r="K6" s="822"/>
      <c r="L6" s="823" t="s">
        <v>1468</v>
      </c>
      <c r="M6" s="72"/>
      <c r="P6" s="1259">
        <v>1</v>
      </c>
      <c r="Q6" s="127"/>
      <c r="R6" s="221"/>
      <c r="S6" s="755" t="e">
        <f>$I6</f>
        <v>#N/A</v>
      </c>
      <c r="T6" s="172" t="s">
        <v>1469</v>
      </c>
      <c r="U6" s="179"/>
      <c r="V6" s="1326"/>
      <c r="W6" s="1327"/>
      <c r="X6" s="1327"/>
      <c r="Y6" s="1327"/>
      <c r="Z6" s="1327"/>
      <c r="AA6" s="1327"/>
      <c r="AB6" s="1327"/>
      <c r="AC6" s="1328"/>
      <c r="AD6" s="1326"/>
      <c r="AE6" s="1327"/>
      <c r="AF6" s="1327"/>
      <c r="AG6" s="1327"/>
      <c r="AH6" s="1327"/>
      <c r="AI6" s="1327"/>
      <c r="AJ6" s="1327"/>
      <c r="AK6" s="1327"/>
      <c r="AL6" s="1328"/>
      <c r="AM6" s="782" t="s">
        <v>1470</v>
      </c>
      <c r="AO6" s="79"/>
      <c r="AP6" s="79" t="str">
        <f t="shared" si="0"/>
        <v>Схема подключения теплопотребляющей установки к коллектору источника тепловой энергии</v>
      </c>
      <c r="AQ6" s="79"/>
      <c r="AR6" s="79"/>
    </row>
    <row r="7" spans="1:44" ht="21" hidden="1" customHeight="1">
      <c r="A7" s="822"/>
      <c r="B7" s="822"/>
      <c r="C7" s="822"/>
      <c r="D7" s="822"/>
      <c r="E7" s="1338"/>
      <c r="F7" s="1338"/>
      <c r="G7" s="1338"/>
      <c r="H7" s="1338"/>
      <c r="I7" s="1340"/>
      <c r="J7" s="1339" t="e">
        <f>I6&amp;".1"</f>
        <v>#N/A</v>
      </c>
      <c r="K7" s="822"/>
      <c r="L7" s="823" t="s">
        <v>1471</v>
      </c>
      <c r="M7" s="72"/>
      <c r="N7" s="72"/>
      <c r="P7" s="1259"/>
      <c r="Q7" s="1259">
        <v>1</v>
      </c>
      <c r="R7" s="222"/>
      <c r="S7" s="755" t="e">
        <f>$J7</f>
        <v>#N/A</v>
      </c>
      <c r="T7" s="173" t="s">
        <v>1472</v>
      </c>
      <c r="U7" s="179"/>
      <c r="V7" s="1326"/>
      <c r="W7" s="1327"/>
      <c r="X7" s="1327"/>
      <c r="Y7" s="1327"/>
      <c r="Z7" s="1327"/>
      <c r="AA7" s="1327"/>
      <c r="AB7" s="1327"/>
      <c r="AC7" s="1328"/>
      <c r="AD7" s="1326"/>
      <c r="AE7" s="1327"/>
      <c r="AF7" s="1327"/>
      <c r="AG7" s="1327"/>
      <c r="AH7" s="1327"/>
      <c r="AI7" s="1327"/>
      <c r="AJ7" s="1327"/>
      <c r="AK7" s="1327"/>
      <c r="AL7" s="1328"/>
      <c r="AM7" s="782" t="s">
        <v>1473</v>
      </c>
      <c r="AO7" s="79"/>
      <c r="AP7" s="79" t="str">
        <f t="shared" si="0"/>
        <v>Группа потребителей</v>
      </c>
      <c r="AQ7" s="79"/>
      <c r="AR7" s="79"/>
    </row>
    <row r="8" spans="1:44" ht="21" hidden="1" customHeight="1">
      <c r="A8" s="822"/>
      <c r="B8" s="822"/>
      <c r="C8" s="822"/>
      <c r="D8" s="822"/>
      <c r="E8" s="1338"/>
      <c r="F8" s="1338"/>
      <c r="G8" s="1338"/>
      <c r="H8" s="1338"/>
      <c r="I8" s="1340"/>
      <c r="J8" s="1340"/>
      <c r="K8" s="1339" t="e">
        <f>J7&amp;".1"</f>
        <v>#N/A</v>
      </c>
      <c r="L8" s="823" t="s">
        <v>1474</v>
      </c>
      <c r="M8" s="72"/>
      <c r="N8" s="72"/>
      <c r="O8" s="72"/>
      <c r="P8" s="1259"/>
      <c r="Q8" s="1259"/>
      <c r="R8" s="222">
        <v>1</v>
      </c>
      <c r="S8" s="755" t="e">
        <f>$K8</f>
        <v>#N/A</v>
      </c>
      <c r="T8" s="821"/>
      <c r="U8" s="179"/>
      <c r="V8" s="1055"/>
      <c r="W8" s="1054"/>
      <c r="X8" s="1055"/>
      <c r="Y8" s="1062"/>
      <c r="Z8" s="1341"/>
      <c r="AA8" s="1133" t="s">
        <v>67</v>
      </c>
      <c r="AB8" s="1341"/>
      <c r="AC8" s="1133" t="s">
        <v>67</v>
      </c>
      <c r="AD8" s="1055"/>
      <c r="AE8" s="1054"/>
      <c r="AF8" s="1055"/>
      <c r="AG8" s="1062"/>
      <c r="AH8" s="1341"/>
      <c r="AI8" s="1133" t="s">
        <v>67</v>
      </c>
      <c r="AJ8" s="1341"/>
      <c r="AK8" s="1133" t="s">
        <v>67</v>
      </c>
      <c r="AL8" s="1055"/>
      <c r="AM8" s="1359" t="s">
        <v>1475</v>
      </c>
      <c r="AN8" s="77" t="e">
        <f ca="1">STRCHECKDATE(V9:AL9)</f>
        <v>#NAME?</v>
      </c>
      <c r="AO8" s="79"/>
      <c r="AP8" s="79" t="str">
        <f t="shared" si="0"/>
        <v/>
      </c>
      <c r="AQ8" s="79"/>
      <c r="AR8" s="79"/>
    </row>
    <row r="9" spans="1:44" ht="0.75" hidden="1" customHeight="1">
      <c r="A9" s="822"/>
      <c r="B9" s="822"/>
      <c r="C9" s="822"/>
      <c r="D9" s="822"/>
      <c r="E9" s="1338"/>
      <c r="F9" s="1338"/>
      <c r="G9" s="1338"/>
      <c r="H9" s="1338"/>
      <c r="I9" s="1340"/>
      <c r="J9" s="1340"/>
      <c r="K9" s="1339"/>
      <c r="L9" s="823"/>
      <c r="M9" s="72"/>
      <c r="N9" s="72"/>
      <c r="O9" s="72"/>
      <c r="P9" s="1259"/>
      <c r="Q9" s="1259"/>
      <c r="R9" s="222"/>
      <c r="S9" s="74"/>
      <c r="T9" s="179"/>
      <c r="U9" s="179"/>
      <c r="V9" s="1055"/>
      <c r="W9" s="1055"/>
      <c r="X9" s="1055"/>
      <c r="Y9" s="1057" t="str">
        <f>Z8&amp;"-"&amp;AB8</f>
        <v>-</v>
      </c>
      <c r="Z9" s="1342"/>
      <c r="AA9" s="1133"/>
      <c r="AB9" s="1342"/>
      <c r="AC9" s="1133"/>
      <c r="AD9" s="1055"/>
      <c r="AE9" s="1055"/>
      <c r="AF9" s="1055"/>
      <c r="AG9" s="1057" t="str">
        <f>AH8&amp;"-"&amp;AJ8</f>
        <v>-</v>
      </c>
      <c r="AH9" s="1342"/>
      <c r="AI9" s="1133"/>
      <c r="AJ9" s="1342"/>
      <c r="AK9" s="1133"/>
      <c r="AL9" s="1055"/>
      <c r="AM9" s="1360"/>
      <c r="AO9" s="79"/>
      <c r="AP9" s="79" t="str">
        <f t="shared" si="0"/>
        <v/>
      </c>
      <c r="AQ9" s="79"/>
      <c r="AR9" s="79"/>
    </row>
    <row r="10" spans="1:44" ht="15" hidden="1" customHeight="1">
      <c r="A10" s="822"/>
      <c r="B10" s="822"/>
      <c r="C10" s="822"/>
      <c r="D10" s="822"/>
      <c r="E10" s="1338"/>
      <c r="F10" s="1338"/>
      <c r="G10" s="1338"/>
      <c r="H10" s="1338"/>
      <c r="I10" s="1340"/>
      <c r="J10" s="1339"/>
      <c r="K10" s="822"/>
      <c r="L10" s="823"/>
      <c r="M10" s="72"/>
      <c r="N10" s="72"/>
      <c r="P10" s="1259"/>
      <c r="Q10" s="1259"/>
      <c r="R10" s="221"/>
      <c r="S10" s="796"/>
      <c r="T10" s="175" t="s">
        <v>1476</v>
      </c>
      <c r="U10" s="228"/>
      <c r="V10" s="228"/>
      <c r="W10" s="228"/>
      <c r="X10" s="228"/>
      <c r="Y10" s="228"/>
      <c r="Z10" s="228"/>
      <c r="AA10" s="228"/>
      <c r="AB10" s="228"/>
      <c r="AC10" s="228"/>
      <c r="AD10" s="228"/>
      <c r="AE10" s="228"/>
      <c r="AF10" s="228"/>
      <c r="AG10" s="228"/>
      <c r="AH10" s="228"/>
      <c r="AI10" s="228"/>
      <c r="AJ10" s="228"/>
      <c r="AK10" s="228"/>
      <c r="AL10" s="204"/>
      <c r="AM10" s="1361"/>
      <c r="AO10" s="79"/>
      <c r="AP10" s="79" t="str">
        <f t="shared" si="0"/>
        <v>Добавить вид теплоносителя (параметры теплоносителя)</v>
      </c>
      <c r="AQ10" s="79"/>
      <c r="AR10" s="79"/>
    </row>
    <row r="11" spans="1:44" ht="15" hidden="1" customHeight="1">
      <c r="A11" s="822"/>
      <c r="B11" s="822"/>
      <c r="C11" s="822"/>
      <c r="D11" s="822"/>
      <c r="E11" s="1338"/>
      <c r="F11" s="1338"/>
      <c r="G11" s="1338"/>
      <c r="H11" s="1338"/>
      <c r="I11" s="1339"/>
      <c r="J11" s="822"/>
      <c r="K11" s="822"/>
      <c r="L11" s="823"/>
      <c r="M11" s="72"/>
      <c r="P11" s="1259"/>
      <c r="Q11" s="127"/>
      <c r="R11" s="221"/>
      <c r="S11" s="796"/>
      <c r="T11" s="174" t="s">
        <v>1477</v>
      </c>
      <c r="U11" s="228"/>
      <c r="V11" s="228"/>
      <c r="W11" s="228"/>
      <c r="X11" s="228"/>
      <c r="Y11" s="228"/>
      <c r="Z11" s="228"/>
      <c r="AA11" s="228"/>
      <c r="AB11" s="228"/>
      <c r="AC11" s="205"/>
      <c r="AD11" s="228"/>
      <c r="AE11" s="228"/>
      <c r="AF11" s="228"/>
      <c r="AG11" s="228"/>
      <c r="AH11" s="228"/>
      <c r="AI11" s="228"/>
      <c r="AJ11" s="228"/>
      <c r="AK11" s="205"/>
      <c r="AL11" s="228"/>
      <c r="AM11" s="182"/>
      <c r="AO11" s="79"/>
      <c r="AP11" s="79" t="str">
        <f t="shared" si="0"/>
        <v>Добавить группу потребителей</v>
      </c>
      <c r="AQ11" s="79"/>
      <c r="AR11" s="79"/>
    </row>
    <row r="12" spans="1:44" ht="14.25" hidden="1" customHeight="1">
      <c r="A12" s="822"/>
      <c r="B12" s="822"/>
      <c r="C12" s="822"/>
      <c r="D12" s="822"/>
      <c r="E12" s="1338"/>
      <c r="F12" s="1338"/>
      <c r="G12" s="1338"/>
      <c r="H12" s="1337"/>
      <c r="I12" s="822"/>
      <c r="J12" s="822"/>
      <c r="K12" s="822"/>
      <c r="L12" s="823"/>
      <c r="M12" s="452"/>
      <c r="N12" s="452"/>
      <c r="O12" s="72"/>
      <c r="P12" s="43"/>
      <c r="Q12" s="231"/>
      <c r="R12" s="220"/>
      <c r="S12" s="796"/>
      <c r="T12" s="226" t="s">
        <v>1478</v>
      </c>
      <c r="U12" s="228"/>
      <c r="V12" s="228"/>
      <c r="W12" s="228"/>
      <c r="X12" s="228"/>
      <c r="Y12" s="228"/>
      <c r="Z12" s="228"/>
      <c r="AA12" s="228"/>
      <c r="AB12" s="228"/>
      <c r="AC12" s="205"/>
      <c r="AD12" s="228"/>
      <c r="AE12" s="228"/>
      <c r="AF12" s="228"/>
      <c r="AG12" s="228"/>
      <c r="AH12" s="228"/>
      <c r="AI12" s="228"/>
      <c r="AJ12" s="228"/>
      <c r="AK12" s="205"/>
      <c r="AL12" s="228"/>
      <c r="AM12" s="182"/>
      <c r="AO12" s="79"/>
      <c r="AP12" s="79" t="str">
        <f t="shared" si="0"/>
        <v>Добавить схему подключения</v>
      </c>
      <c r="AQ12" s="79"/>
      <c r="AR12" s="79"/>
    </row>
    <row r="13" spans="1:44" s="77" customFormat="1" ht="0.75" hidden="1" customHeight="1">
      <c r="A13" s="150"/>
      <c r="B13" s="150"/>
      <c r="C13" s="150"/>
      <c r="D13" s="150"/>
      <c r="E13" s="1338"/>
      <c r="F13" s="1338"/>
      <c r="G13" s="1337"/>
      <c r="H13" s="150"/>
      <c r="I13" s="150"/>
      <c r="J13" s="150"/>
      <c r="K13" s="150"/>
      <c r="L13" s="373"/>
      <c r="M13" s="318"/>
      <c r="N13" s="318"/>
      <c r="P13" s="111"/>
      <c r="Q13" s="811"/>
      <c r="R13" s="111"/>
      <c r="S13" s="812"/>
      <c r="T13" s="813" t="s">
        <v>1437</v>
      </c>
      <c r="U13" s="814"/>
      <c r="V13" s="814"/>
      <c r="W13" s="814"/>
      <c r="X13" s="814"/>
      <c r="Y13" s="814"/>
      <c r="Z13" s="814"/>
      <c r="AA13" s="814"/>
      <c r="AB13" s="814"/>
      <c r="AC13" s="814"/>
      <c r="AD13" s="814"/>
      <c r="AE13" s="814"/>
      <c r="AF13" s="814"/>
      <c r="AG13" s="814"/>
      <c r="AH13" s="814"/>
      <c r="AI13" s="814"/>
      <c r="AJ13" s="814"/>
      <c r="AK13" s="814"/>
      <c r="AL13" s="814"/>
      <c r="AM13" s="814"/>
      <c r="AO13" s="79"/>
      <c r="AP13" s="79" t="str">
        <f t="shared" si="0"/>
        <v>Добавить источник для дифференциации</v>
      </c>
      <c r="AQ13" s="79"/>
      <c r="AR13" s="79"/>
    </row>
    <row r="14" spans="1:44" s="77" customFormat="1" ht="0.75" hidden="1" customHeight="1">
      <c r="A14" s="150"/>
      <c r="B14" s="150"/>
      <c r="C14" s="150"/>
      <c r="D14" s="150"/>
      <c r="E14" s="1338"/>
      <c r="F14" s="1337"/>
      <c r="G14" s="150"/>
      <c r="H14" s="150"/>
      <c r="I14" s="150"/>
      <c r="J14" s="150"/>
      <c r="K14" s="150"/>
      <c r="L14" s="373"/>
      <c r="M14" s="815"/>
      <c r="N14" s="815"/>
      <c r="P14" s="111"/>
      <c r="Q14" s="811"/>
      <c r="R14" s="111"/>
      <c r="S14" s="816"/>
      <c r="T14" s="817" t="s">
        <v>1438</v>
      </c>
      <c r="U14" s="338"/>
      <c r="V14" s="338"/>
      <c r="W14" s="338"/>
      <c r="X14" s="338"/>
      <c r="Y14" s="338"/>
      <c r="Z14" s="338"/>
      <c r="AA14" s="338"/>
      <c r="AB14" s="338"/>
      <c r="AC14" s="338"/>
      <c r="AD14" s="338"/>
      <c r="AE14" s="338"/>
      <c r="AF14" s="338"/>
      <c r="AG14" s="338"/>
      <c r="AH14" s="338"/>
      <c r="AI14" s="338"/>
      <c r="AJ14" s="338"/>
      <c r="AK14" s="338"/>
      <c r="AL14" s="338"/>
      <c r="AM14" s="338"/>
      <c r="AO14" s="79"/>
      <c r="AP14" s="79" t="str">
        <f t="shared" si="0"/>
        <v>Добавить централизованную систему для дифференциации</v>
      </c>
      <c r="AQ14" s="79"/>
      <c r="AR14" s="79"/>
    </row>
    <row r="15" spans="1:44" s="77" customFormat="1" ht="0.75" hidden="1" customHeight="1">
      <c r="A15" s="150"/>
      <c r="B15" s="150"/>
      <c r="C15" s="150"/>
      <c r="D15" s="150"/>
      <c r="E15" s="1337"/>
      <c r="F15" s="150"/>
      <c r="G15" s="150"/>
      <c r="H15" s="150"/>
      <c r="I15" s="150"/>
      <c r="J15" s="150"/>
      <c r="K15" s="150"/>
      <c r="L15" s="373"/>
      <c r="M15" s="815"/>
      <c r="N15" s="815"/>
      <c r="P15" s="111"/>
      <c r="Q15" s="811"/>
      <c r="R15" s="111"/>
      <c r="S15" s="816"/>
      <c r="T15" s="818" t="s">
        <v>1439</v>
      </c>
      <c r="U15" s="338"/>
      <c r="V15" s="338"/>
      <c r="W15" s="338"/>
      <c r="X15" s="338"/>
      <c r="Y15" s="338"/>
      <c r="Z15" s="338"/>
      <c r="AA15" s="338"/>
      <c r="AB15" s="338"/>
      <c r="AC15" s="338"/>
      <c r="AD15" s="338"/>
      <c r="AE15" s="338"/>
      <c r="AF15" s="338"/>
      <c r="AG15" s="338"/>
      <c r="AH15" s="338"/>
      <c r="AI15" s="338"/>
      <c r="AJ15" s="338"/>
      <c r="AK15" s="338"/>
      <c r="AL15" s="338"/>
      <c r="AM15" s="338"/>
      <c r="AO15" s="79"/>
      <c r="AP15" s="79" t="str">
        <f t="shared" si="0"/>
        <v>Добавить территорию для дифференциации</v>
      </c>
      <c r="AQ15" s="79"/>
      <c r="AR15" s="79"/>
    </row>
    <row r="16" spans="1:44" ht="14.25" hidden="1" customHeight="1"/>
    <row r="17" spans="1:44" ht="14.25" hidden="1" customHeight="1">
      <c r="AD17" s="1058"/>
      <c r="AE17" s="1058"/>
      <c r="AF17" s="1058"/>
      <c r="AG17" s="1059"/>
      <c r="AH17" s="1335"/>
      <c r="AI17" s="1334" t="s">
        <v>67</v>
      </c>
      <c r="AJ17" s="1335"/>
      <c r="AK17" s="1334" t="s">
        <v>67</v>
      </c>
    </row>
    <row r="18" spans="1:44" ht="14.25" hidden="1" customHeight="1">
      <c r="AD18" s="1058"/>
      <c r="AE18" s="1058"/>
      <c r="AF18" s="1058"/>
      <c r="AG18" s="1057" t="str">
        <f>AH17&amp;"-"&amp;AJ17</f>
        <v>-</v>
      </c>
      <c r="AH18" s="1334"/>
      <c r="AI18" s="1334"/>
      <c r="AJ18" s="1334"/>
      <c r="AK18" s="1334"/>
    </row>
    <row r="19" spans="1:44" ht="14.25" hidden="1" customHeight="1"/>
    <row r="20" spans="1:44" s="72" customFormat="1" ht="22.5" hidden="1" customHeight="1">
      <c r="L20" s="388"/>
      <c r="M20" s="541"/>
      <c r="N20" s="541"/>
      <c r="O20" s="824" t="s">
        <v>1479</v>
      </c>
      <c r="P20" s="541"/>
      <c r="Q20" s="825"/>
      <c r="R20" s="825"/>
      <c r="S20" s="452"/>
      <c r="Z20" s="824"/>
      <c r="AB20" s="824"/>
      <c r="AH20" s="824"/>
      <c r="AJ20" s="824"/>
      <c r="AN20" s="77"/>
      <c r="AO20" s="77"/>
      <c r="AP20" s="77"/>
      <c r="AQ20" s="77"/>
      <c r="AR20" s="77"/>
    </row>
    <row r="21" spans="1:44" s="72" customFormat="1" ht="14.25" hidden="1" customHeight="1">
      <c r="L21" s="388"/>
      <c r="M21" s="541"/>
      <c r="N21" s="541"/>
      <c r="O21" s="541"/>
      <c r="P21" s="541"/>
      <c r="Q21" s="825"/>
      <c r="R21" s="825"/>
      <c r="S21" s="452"/>
      <c r="AN21" s="77"/>
      <c r="AO21" s="77"/>
      <c r="AP21" s="77"/>
      <c r="AQ21" s="77"/>
      <c r="AR21" s="77"/>
    </row>
    <row r="22" spans="1:44" s="72" customFormat="1" ht="33.75" hidden="1" customHeight="1">
      <c r="L22" s="388"/>
      <c r="M22" s="541"/>
      <c r="N22" s="541"/>
      <c r="O22" s="823" t="s">
        <v>1480</v>
      </c>
      <c r="P22" s="541"/>
      <c r="Q22" s="825"/>
      <c r="R22" s="825"/>
      <c r="S22" s="452"/>
      <c r="T22" s="72" t="s">
        <v>1481</v>
      </c>
      <c r="AA22" s="91" t="s">
        <v>1482</v>
      </c>
      <c r="AC22" s="91" t="s">
        <v>1483</v>
      </c>
      <c r="AD22" s="72" t="s">
        <v>1481</v>
      </c>
      <c r="AI22" s="91" t="s">
        <v>1484</v>
      </c>
      <c r="AK22" s="91" t="s">
        <v>1483</v>
      </c>
      <c r="AN22" s="77"/>
      <c r="AO22" s="77"/>
      <c r="AP22" s="77"/>
      <c r="AQ22" s="77"/>
      <c r="AR22" s="77"/>
    </row>
    <row r="23" spans="1:44" ht="14.25" hidden="1" customHeight="1">
      <c r="O23" s="823"/>
    </row>
    <row r="24" spans="1:44" ht="14.25" hidden="1" customHeight="1">
      <c r="O24" s="823"/>
    </row>
    <row r="25" spans="1:44" ht="14.25" customHeight="1">
      <c r="Q25" s="36"/>
      <c r="R25" s="36"/>
      <c r="S25" s="793"/>
      <c r="T25" s="25"/>
      <c r="U25" s="25"/>
    </row>
    <row r="26" spans="1:44" ht="88.5" customHeight="1">
      <c r="Q26" s="36"/>
      <c r="R26" s="36"/>
      <c r="S26" s="1181" t="str">
        <f>IF(TEMPLATE_GROUP="P",PT_P_FORM_HEAT_4_NAME_FORM,PT_R_FORM_HEAT_21_NAME_FORM)</f>
        <v>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v>
      </c>
      <c r="T26" s="1181"/>
      <c r="U26" s="1181"/>
      <c r="V26" s="1181"/>
      <c r="W26" s="1181"/>
      <c r="X26" s="1181"/>
      <c r="Y26" s="1181"/>
      <c r="Z26" s="1181"/>
      <c r="AA26" s="1181"/>
      <c r="AB26" s="1181"/>
      <c r="AC26" s="1181"/>
      <c r="AD26" s="1181"/>
      <c r="AE26" s="1181"/>
      <c r="AF26" s="1181"/>
      <c r="AG26" s="1181"/>
      <c r="AH26" s="1181"/>
      <c r="AI26" s="1181"/>
      <c r="AJ26" s="1181"/>
      <c r="AK26" s="69"/>
    </row>
    <row r="27" spans="1:44" ht="14.25" customHeight="1">
      <c r="Q27" s="36"/>
      <c r="R27" s="36"/>
      <c r="S27" s="1204" t="str">
        <f>IF(org=0,"Не определено",org)</f>
        <v>ООО "ТЕПЛО ПЛЮС"</v>
      </c>
      <c r="T27" s="1204"/>
      <c r="U27" s="1204"/>
      <c r="V27" s="1204"/>
      <c r="W27" s="1204"/>
      <c r="X27" s="1204"/>
      <c r="Y27" s="1204"/>
      <c r="Z27" s="1204"/>
      <c r="AA27" s="1204"/>
      <c r="AB27" s="1204"/>
      <c r="AC27" s="1204"/>
      <c r="AD27" s="1204"/>
      <c r="AE27" s="1204"/>
      <c r="AF27" s="1204"/>
      <c r="AG27" s="1204"/>
      <c r="AH27" s="1204"/>
      <c r="AI27" s="1204"/>
      <c r="AJ27" s="1204"/>
      <c r="AK27" s="69"/>
    </row>
    <row r="28" spans="1:44" ht="14.25" hidden="1" customHeight="1">
      <c r="Q28" s="36"/>
      <c r="R28" s="36"/>
      <c r="S28" s="793"/>
      <c r="T28" s="25"/>
      <c r="U28" s="25"/>
      <c r="V28" s="202"/>
      <c r="W28" s="202"/>
      <c r="X28" s="202"/>
      <c r="Y28" s="202"/>
      <c r="Z28" s="202"/>
      <c r="AA28" s="202"/>
      <c r="AB28" s="202"/>
      <c r="AC28" s="202"/>
      <c r="AD28" s="202"/>
      <c r="AE28" s="202"/>
      <c r="AF28" s="202"/>
      <c r="AG28" s="202"/>
      <c r="AH28" s="202"/>
      <c r="AI28" s="202"/>
      <c r="AJ28" s="202"/>
      <c r="AK28" s="202"/>
    </row>
    <row r="29" spans="1:44" s="44" customFormat="1" ht="25.5" hidden="1" customHeight="1">
      <c r="A29" s="91"/>
      <c r="B29" s="91"/>
      <c r="C29" s="91"/>
      <c r="D29" s="91"/>
      <c r="E29" s="91"/>
      <c r="F29" s="91"/>
      <c r="G29" s="91"/>
      <c r="H29" s="91"/>
      <c r="I29" s="91"/>
      <c r="J29" s="91"/>
      <c r="K29" s="91"/>
      <c r="L29" s="823"/>
      <c r="M29" s="91"/>
      <c r="N29" s="91"/>
      <c r="O29" s="91"/>
      <c r="S29" s="1329" t="s">
        <v>39</v>
      </c>
      <c r="T29" s="1329"/>
      <c r="U29" s="826"/>
      <c r="V29" s="1330" t="str">
        <f>IF(TITLE_NAME_OR_PR_CHANGE="",IF(TITLE_NAME_OR_PR="","",TITLE_NAME_OR_PR),TITLE_NAME_OR_PR_CHANGE)</f>
        <v/>
      </c>
      <c r="W29" s="1330"/>
      <c r="X29" s="1330"/>
      <c r="Y29" s="1330"/>
      <c r="Z29" s="1330"/>
      <c r="AA29" s="1330"/>
      <c r="AB29" s="1330"/>
      <c r="AC29" s="24"/>
      <c r="AD29" s="1330" t="str">
        <f>IF(TITLE_NAME_OR_PR_CHANGE="",IF(TITLE_NAME_OR_PR="","",TITLE_NAME_OR_PR),TITLE_NAME_OR_PR_CHANGE)</f>
        <v/>
      </c>
      <c r="AE29" s="1330"/>
      <c r="AF29" s="1330"/>
      <c r="AG29" s="1330"/>
      <c r="AH29" s="1330"/>
      <c r="AI29" s="1330"/>
      <c r="AJ29" s="1330"/>
      <c r="AK29" s="24"/>
      <c r="AL29" s="24"/>
      <c r="AM29" s="171"/>
      <c r="AN29" s="79"/>
      <c r="AO29" s="79"/>
      <c r="AP29" s="79"/>
      <c r="AQ29" s="79"/>
      <c r="AR29" s="79"/>
    </row>
    <row r="30" spans="1:44" s="44" customFormat="1" ht="18.75" hidden="1" customHeight="1">
      <c r="A30" s="91"/>
      <c r="B30" s="91"/>
      <c r="C30" s="91"/>
      <c r="D30" s="91"/>
      <c r="E30" s="91"/>
      <c r="F30" s="91"/>
      <c r="G30" s="91"/>
      <c r="H30" s="91"/>
      <c r="I30" s="91"/>
      <c r="J30" s="91"/>
      <c r="K30" s="91"/>
      <c r="L30" s="823"/>
      <c r="M30" s="91"/>
      <c r="N30" s="91"/>
      <c r="O30" s="91"/>
      <c r="S30" s="1329" t="s">
        <v>1485</v>
      </c>
      <c r="T30" s="1329"/>
      <c r="U30" s="826"/>
      <c r="V30" s="1330" t="str">
        <f>IF(TITLE_DATE_CHANGE_PERIOD="",IF(TITLE_DATE_PR="","",TITLE_DATE_PR),TITLE_DATE_CHANGE_PERIOD)</f>
        <v/>
      </c>
      <c r="W30" s="1330"/>
      <c r="X30" s="1330"/>
      <c r="Y30" s="1330"/>
      <c r="Z30" s="1330"/>
      <c r="AA30" s="1330"/>
      <c r="AB30" s="1330"/>
      <c r="AC30" s="24"/>
      <c r="AD30" s="1330" t="str">
        <f>IF(TITLE_DATE_CHANGE_PERIOD="",IF(TITLE_DATE_PR="","",TITLE_DATE_PR),TITLE_DATE_CHANGE_PERIOD)</f>
        <v/>
      </c>
      <c r="AE30" s="1330"/>
      <c r="AF30" s="1330"/>
      <c r="AG30" s="1330"/>
      <c r="AH30" s="1330"/>
      <c r="AI30" s="1330"/>
      <c r="AJ30" s="1330"/>
      <c r="AK30" s="24"/>
      <c r="AL30" s="24"/>
      <c r="AM30" s="171"/>
      <c r="AN30" s="79"/>
      <c r="AO30" s="79"/>
      <c r="AP30" s="79"/>
      <c r="AQ30" s="79"/>
      <c r="AR30" s="79"/>
    </row>
    <row r="31" spans="1:44" s="44" customFormat="1" ht="18.75" hidden="1" customHeight="1">
      <c r="A31" s="91"/>
      <c r="B31" s="91"/>
      <c r="C31" s="91"/>
      <c r="D31" s="91"/>
      <c r="E31" s="91"/>
      <c r="F31" s="91"/>
      <c r="G31" s="91"/>
      <c r="H31" s="91"/>
      <c r="I31" s="91"/>
      <c r="J31" s="91"/>
      <c r="K31" s="91"/>
      <c r="L31" s="823"/>
      <c r="M31" s="91"/>
      <c r="N31" s="91"/>
      <c r="O31" s="91"/>
      <c r="S31" s="1329" t="s">
        <v>1486</v>
      </c>
      <c r="T31" s="1329"/>
      <c r="U31" s="826"/>
      <c r="V31" s="1330" t="str">
        <f>IF(TITLE_NUMBER_PR_CHANGE="",IF(TITLE_NUMBER_PR="","",TITLE_NUMBER_PR),TITLE_NUMBER_PR_CHANGE)</f>
        <v/>
      </c>
      <c r="W31" s="1330"/>
      <c r="X31" s="1330"/>
      <c r="Y31" s="1330"/>
      <c r="Z31" s="1330"/>
      <c r="AA31" s="1330"/>
      <c r="AB31" s="1330"/>
      <c r="AC31" s="24"/>
      <c r="AD31" s="1330" t="str">
        <f>IF(TITLE_NUMBER_PR_CHANGE="",IF(TITLE_NUMBER_PR="","",TITLE_NUMBER_PR),TITLE_NUMBER_PR_CHANGE)</f>
        <v/>
      </c>
      <c r="AE31" s="1330"/>
      <c r="AF31" s="1330"/>
      <c r="AG31" s="1330"/>
      <c r="AH31" s="1330"/>
      <c r="AI31" s="1330"/>
      <c r="AJ31" s="1330"/>
      <c r="AK31" s="24"/>
      <c r="AL31" s="24"/>
      <c r="AM31" s="171"/>
      <c r="AN31" s="79"/>
      <c r="AO31" s="79"/>
      <c r="AP31" s="79"/>
      <c r="AQ31" s="79"/>
      <c r="AR31" s="79"/>
    </row>
    <row r="32" spans="1:44" s="44" customFormat="1" ht="18.75" hidden="1" customHeight="1">
      <c r="A32" s="91"/>
      <c r="B32" s="91"/>
      <c r="C32" s="91"/>
      <c r="D32" s="91"/>
      <c r="E32" s="91"/>
      <c r="F32" s="91"/>
      <c r="G32" s="91"/>
      <c r="H32" s="91"/>
      <c r="I32" s="91"/>
      <c r="J32" s="91"/>
      <c r="K32" s="91"/>
      <c r="L32" s="823"/>
      <c r="M32" s="91"/>
      <c r="N32" s="91"/>
      <c r="O32" s="91"/>
      <c r="S32" s="1329" t="s">
        <v>40</v>
      </c>
      <c r="T32" s="1329"/>
      <c r="U32" s="826"/>
      <c r="V32" s="1330" t="str">
        <f>IF(TITLE_IST_PUB_CHANGE="",IF(TITLE_IST_PUB="","",TITLE_IST_PUB),TITLE_IST_PUB_CHANGE)</f>
        <v/>
      </c>
      <c r="W32" s="1330"/>
      <c r="X32" s="1330"/>
      <c r="Y32" s="1330"/>
      <c r="Z32" s="1330"/>
      <c r="AA32" s="1330"/>
      <c r="AB32" s="1330"/>
      <c r="AC32" s="24"/>
      <c r="AD32" s="1330" t="str">
        <f>IF(TITLE_IST_PUB_CHANGE="",IF(TITLE_IST_PUB="","",TITLE_IST_PUB),TITLE_IST_PUB_CHANGE)</f>
        <v/>
      </c>
      <c r="AE32" s="1330"/>
      <c r="AF32" s="1330"/>
      <c r="AG32" s="1330"/>
      <c r="AH32" s="1330"/>
      <c r="AI32" s="1330"/>
      <c r="AJ32" s="1330"/>
      <c r="AK32" s="24"/>
      <c r="AL32" s="24"/>
      <c r="AM32" s="171"/>
      <c r="AN32" s="79"/>
      <c r="AO32" s="79"/>
      <c r="AP32" s="79"/>
      <c r="AQ32" s="79"/>
      <c r="AR32" s="79"/>
    </row>
    <row r="33" spans="1:44" ht="14.25" hidden="1" customHeight="1">
      <c r="Q33" s="36"/>
      <c r="R33" s="36"/>
      <c r="S33" s="793"/>
      <c r="T33" s="25"/>
      <c r="U33" s="25"/>
      <c r="V33" s="202"/>
      <c r="W33" s="202"/>
      <c r="X33" s="202"/>
      <c r="Y33" s="202"/>
      <c r="Z33" s="202"/>
      <c r="AA33" s="202"/>
      <c r="AB33" s="202"/>
      <c r="AC33" s="202"/>
      <c r="AD33" s="202"/>
      <c r="AE33" s="202"/>
      <c r="AF33" s="202"/>
      <c r="AG33" s="202"/>
      <c r="AH33" s="202"/>
      <c r="AI33" s="202"/>
      <c r="AJ33" s="202"/>
      <c r="AK33" s="202"/>
    </row>
    <row r="34" spans="1:44" s="44" customFormat="1" ht="18.75" hidden="1" customHeight="1">
      <c r="A34" s="91"/>
      <c r="B34" s="91"/>
      <c r="C34" s="91"/>
      <c r="D34" s="91"/>
      <c r="E34" s="91"/>
      <c r="F34" s="91"/>
      <c r="G34" s="91"/>
      <c r="H34" s="91"/>
      <c r="I34" s="91"/>
      <c r="J34" s="91"/>
      <c r="K34" s="91"/>
      <c r="L34" s="823"/>
      <c r="M34" s="91"/>
      <c r="N34" s="91"/>
      <c r="O34" s="91"/>
      <c r="S34" s="1329" t="s">
        <v>1487</v>
      </c>
      <c r="T34" s="1329"/>
      <c r="U34" s="826"/>
      <c r="V34" s="1330" t="str">
        <f>IF(TITLE_DATE_CHANGE_PERIOD="",IF(TITLE_DATE_PR="","",TITLE_DATE_PR),TITLE_DATE_CHANGE_PERIOD)</f>
        <v/>
      </c>
      <c r="W34" s="1330"/>
      <c r="X34" s="1330"/>
      <c r="Y34" s="1330"/>
      <c r="Z34" s="1330"/>
      <c r="AA34" s="1330"/>
      <c r="AB34" s="1330"/>
      <c r="AC34" s="24"/>
      <c r="AD34" s="1330" t="str">
        <f>IF(TITLE_DATE_CHANGE_PERIOD="",IF(TITLE_DATE_PR="","",TITLE_DATE_PR),TITLE_DATE_CHANGE_PERIOD)</f>
        <v/>
      </c>
      <c r="AE34" s="1330"/>
      <c r="AF34" s="1330"/>
      <c r="AG34" s="1330"/>
      <c r="AH34" s="1330"/>
      <c r="AI34" s="1330"/>
      <c r="AJ34" s="1330"/>
      <c r="AK34" s="24"/>
      <c r="AL34" s="24"/>
      <c r="AM34" s="171"/>
      <c r="AN34" s="79"/>
      <c r="AO34" s="79"/>
      <c r="AP34" s="79"/>
      <c r="AQ34" s="79"/>
      <c r="AR34" s="79"/>
    </row>
    <row r="35" spans="1:44" s="44" customFormat="1" ht="18.75" hidden="1" customHeight="1">
      <c r="A35" s="91"/>
      <c r="B35" s="91"/>
      <c r="C35" s="91"/>
      <c r="D35" s="91"/>
      <c r="E35" s="91"/>
      <c r="F35" s="91"/>
      <c r="G35" s="91"/>
      <c r="H35" s="91"/>
      <c r="I35" s="91"/>
      <c r="J35" s="91"/>
      <c r="K35" s="91"/>
      <c r="L35" s="823"/>
      <c r="M35" s="91"/>
      <c r="N35" s="91"/>
      <c r="O35" s="91"/>
      <c r="S35" s="1329" t="s">
        <v>1488</v>
      </c>
      <c r="T35" s="1329"/>
      <c r="U35" s="826"/>
      <c r="V35" s="1330" t="str">
        <f>IF(TITLE_NUMBER_PR_CHANGE="",IF(TITLE_NUMBER_PR="","",TITLE_NUMBER_PR),TITLE_NUMBER_PR_CHANGE)</f>
        <v/>
      </c>
      <c r="W35" s="1330"/>
      <c r="X35" s="1330"/>
      <c r="Y35" s="1330"/>
      <c r="Z35" s="1330"/>
      <c r="AA35" s="1330"/>
      <c r="AB35" s="1330"/>
      <c r="AC35" s="24"/>
      <c r="AD35" s="1330" t="str">
        <f>IF(TITLE_NUMBER_PR_CHANGE="",IF(TITLE_NUMBER_PR="","",TITLE_NUMBER_PR),TITLE_NUMBER_PR_CHANGE)</f>
        <v/>
      </c>
      <c r="AE35" s="1330"/>
      <c r="AF35" s="1330"/>
      <c r="AG35" s="1330"/>
      <c r="AH35" s="1330"/>
      <c r="AI35" s="1330"/>
      <c r="AJ35" s="1330"/>
      <c r="AK35" s="24"/>
      <c r="AL35" s="24"/>
      <c r="AM35" s="171"/>
      <c r="AN35" s="79"/>
      <c r="AO35" s="79"/>
      <c r="AP35" s="79"/>
      <c r="AQ35" s="79"/>
      <c r="AR35" s="79"/>
    </row>
    <row r="36" spans="1:44" s="44" customFormat="1" ht="0" hidden="1" customHeight="1">
      <c r="A36" s="91"/>
      <c r="B36" s="91"/>
      <c r="C36" s="91"/>
      <c r="D36" s="91"/>
      <c r="E36" s="91"/>
      <c r="F36" s="91"/>
      <c r="G36" s="91"/>
      <c r="H36" s="91"/>
      <c r="I36" s="91"/>
      <c r="J36" s="91"/>
      <c r="K36" s="91"/>
      <c r="L36" s="823"/>
      <c r="M36" s="91"/>
      <c r="N36" s="91"/>
      <c r="O36" s="91"/>
      <c r="S36" s="24"/>
      <c r="T36" s="24"/>
      <c r="U36" s="87"/>
      <c r="V36" s="24"/>
      <c r="W36" s="24"/>
      <c r="X36" s="24"/>
      <c r="Y36" s="24"/>
      <c r="Z36" s="24"/>
      <c r="AA36" s="24"/>
      <c r="AB36" s="24"/>
      <c r="AC36" s="77" t="s">
        <v>1489</v>
      </c>
      <c r="AD36" s="24"/>
      <c r="AE36" s="24"/>
      <c r="AF36" s="24"/>
      <c r="AG36" s="24"/>
      <c r="AH36" s="24"/>
      <c r="AI36" s="24"/>
      <c r="AJ36" s="24"/>
      <c r="AK36" s="77" t="s">
        <v>1489</v>
      </c>
      <c r="AN36" s="79"/>
      <c r="AO36" s="79"/>
      <c r="AP36" s="79"/>
      <c r="AQ36" s="79"/>
      <c r="AR36" s="79"/>
    </row>
    <row r="37" spans="1:44" ht="14.25" customHeight="1">
      <c r="Q37" s="36"/>
      <c r="R37" s="36"/>
      <c r="S37" s="793"/>
      <c r="T37" s="25"/>
      <c r="U37" s="766"/>
      <c r="V37" s="1348"/>
      <c r="W37" s="1348"/>
      <c r="X37" s="1348"/>
      <c r="Y37" s="1348"/>
      <c r="Z37" s="1348"/>
      <c r="AA37" s="1348"/>
      <c r="AB37" s="1348"/>
      <c r="AC37" s="1348"/>
      <c r="AD37" s="1348"/>
      <c r="AE37" s="1348"/>
      <c r="AF37" s="1348"/>
      <c r="AG37" s="1348"/>
      <c r="AH37" s="1348"/>
      <c r="AI37" s="1348"/>
      <c r="AJ37" s="1348"/>
      <c r="AK37" s="1348"/>
    </row>
    <row r="38" spans="1:44" ht="14.25" customHeight="1">
      <c r="Q38" s="36"/>
      <c r="R38" s="36"/>
      <c r="S38" s="1123" t="s">
        <v>292</v>
      </c>
      <c r="T38" s="1123"/>
      <c r="U38" s="1123"/>
      <c r="V38" s="1123"/>
      <c r="W38" s="1123"/>
      <c r="X38" s="1123"/>
      <c r="Y38" s="1123"/>
      <c r="Z38" s="1123"/>
      <c r="AA38" s="1123"/>
      <c r="AB38" s="1123"/>
      <c r="AC38" s="1123"/>
      <c r="AD38" s="1123"/>
      <c r="AE38" s="1123"/>
      <c r="AF38" s="1123"/>
      <c r="AG38" s="1123"/>
      <c r="AH38" s="1123"/>
      <c r="AI38" s="1123"/>
      <c r="AJ38" s="1123"/>
      <c r="AK38" s="1123"/>
      <c r="AL38" s="1123"/>
      <c r="AM38" s="1123" t="s">
        <v>293</v>
      </c>
    </row>
    <row r="39" spans="1:44" ht="14.25" customHeight="1">
      <c r="Q39" s="36"/>
      <c r="R39" s="36"/>
      <c r="S39" s="1349" t="s">
        <v>88</v>
      </c>
      <c r="T39" s="1213" t="s">
        <v>1490</v>
      </c>
      <c r="U39" s="180"/>
      <c r="V39" s="1350" t="s">
        <v>1491</v>
      </c>
      <c r="W39" s="1351"/>
      <c r="X39" s="1364"/>
      <c r="Y39" s="1364"/>
      <c r="Z39" s="1351"/>
      <c r="AA39" s="1351"/>
      <c r="AB39" s="1352"/>
      <c r="AC39" s="1353" t="s">
        <v>1492</v>
      </c>
      <c r="AD39" s="1350" t="s">
        <v>1491</v>
      </c>
      <c r="AE39" s="1351"/>
      <c r="AF39" s="1364"/>
      <c r="AG39" s="1364"/>
      <c r="AH39" s="1351"/>
      <c r="AI39" s="1351"/>
      <c r="AJ39" s="1352"/>
      <c r="AK39" s="1353" t="s">
        <v>1493</v>
      </c>
      <c r="AL39" s="1356" t="s">
        <v>1494</v>
      </c>
      <c r="AM39" s="1123"/>
    </row>
    <row r="40" spans="1:44" ht="23.25" customHeight="1">
      <c r="Q40" s="36"/>
      <c r="R40" s="36"/>
      <c r="S40" s="1349"/>
      <c r="T40" s="1213"/>
      <c r="U40" s="647"/>
      <c r="V40" s="1362" t="s">
        <v>1495</v>
      </c>
      <c r="W40" s="1183" t="s">
        <v>1496</v>
      </c>
      <c r="X40" s="342" t="s">
        <v>1497</v>
      </c>
      <c r="Y40" s="342"/>
      <c r="Z40" s="1110" t="s">
        <v>1498</v>
      </c>
      <c r="AA40" s="1110"/>
      <c r="AB40" s="1104"/>
      <c r="AC40" s="1354"/>
      <c r="AD40" s="1362" t="s">
        <v>1495</v>
      </c>
      <c r="AE40" s="1183" t="s">
        <v>1496</v>
      </c>
      <c r="AF40" s="342" t="s">
        <v>1497</v>
      </c>
      <c r="AG40" s="342"/>
      <c r="AH40" s="1110" t="s">
        <v>1498</v>
      </c>
      <c r="AI40" s="1110"/>
      <c r="AJ40" s="1104"/>
      <c r="AK40" s="1354"/>
      <c r="AL40" s="1357"/>
      <c r="AM40" s="1123"/>
    </row>
    <row r="41" spans="1:44" s="369" customFormat="1" ht="23.25" customHeight="1">
      <c r="A41" s="91"/>
      <c r="B41" s="91" t="s">
        <v>136</v>
      </c>
      <c r="C41" s="91" t="s">
        <v>137</v>
      </c>
      <c r="D41" s="91" t="s">
        <v>138</v>
      </c>
      <c r="E41" s="823" t="s">
        <v>1499</v>
      </c>
      <c r="F41" s="823" t="s">
        <v>1500</v>
      </c>
      <c r="G41" s="823" t="s">
        <v>1501</v>
      </c>
      <c r="H41" s="823" t="s">
        <v>1502</v>
      </c>
      <c r="I41" s="823" t="s">
        <v>1503</v>
      </c>
      <c r="J41" s="823" t="s">
        <v>1504</v>
      </c>
      <c r="K41" s="823" t="s">
        <v>1505</v>
      </c>
      <c r="L41" s="823" t="s">
        <v>1480</v>
      </c>
      <c r="M41" s="541"/>
      <c r="N41" s="541"/>
      <c r="O41" s="541"/>
      <c r="P41" s="42"/>
      <c r="Q41" s="36"/>
      <c r="R41" s="36"/>
      <c r="S41" s="1349"/>
      <c r="T41" s="1213"/>
      <c r="U41" s="181"/>
      <c r="V41" s="1363"/>
      <c r="W41" s="1188"/>
      <c r="X41" s="341" t="s">
        <v>1506</v>
      </c>
      <c r="Y41" s="341" t="s">
        <v>1507</v>
      </c>
      <c r="Z41" s="819" t="s">
        <v>1508</v>
      </c>
      <c r="AA41" s="1219" t="s">
        <v>1509</v>
      </c>
      <c r="AB41" s="1233"/>
      <c r="AC41" s="1355"/>
      <c r="AD41" s="1363"/>
      <c r="AE41" s="1188"/>
      <c r="AF41" s="341" t="s">
        <v>1506</v>
      </c>
      <c r="AG41" s="341" t="s">
        <v>1507</v>
      </c>
      <c r="AH41" s="819" t="s">
        <v>1508</v>
      </c>
      <c r="AI41" s="1219" t="s">
        <v>1509</v>
      </c>
      <c r="AJ41" s="1233"/>
      <c r="AK41" s="1355"/>
      <c r="AL41" s="1358"/>
      <c r="AM41" s="1123"/>
      <c r="AN41" s="77"/>
      <c r="AO41" s="79"/>
      <c r="AP41" s="79"/>
      <c r="AQ41" s="79"/>
      <c r="AR41" s="79"/>
    </row>
    <row r="42" spans="1:44" s="216" customFormat="1" ht="11.25" hidden="1" customHeight="1">
      <c r="A42" s="91"/>
      <c r="B42" s="91"/>
      <c r="C42" s="91"/>
      <c r="D42" s="91"/>
      <c r="E42" s="91"/>
      <c r="F42" s="91"/>
      <c r="G42" s="91"/>
      <c r="H42" s="91"/>
      <c r="I42" s="91"/>
      <c r="J42" s="91"/>
      <c r="K42" s="91"/>
      <c r="L42" s="823"/>
      <c r="M42" s="541"/>
      <c r="N42" s="541"/>
      <c r="O42" s="541"/>
      <c r="P42" s="768"/>
      <c r="Q42" s="769"/>
      <c r="R42" s="777">
        <v>1</v>
      </c>
      <c r="S42" s="795" t="s">
        <v>109</v>
      </c>
      <c r="T42" s="778" t="s">
        <v>110</v>
      </c>
      <c r="U42" s="767" t="str">
        <f ca="1">OFFSET(U42,0,-1)</f>
        <v>2</v>
      </c>
      <c r="V42" s="779">
        <f ca="1">OFFSET(V42,0,-1)+1</f>
        <v>3</v>
      </c>
      <c r="W42" s="779"/>
      <c r="X42" s="311">
        <f ca="1">OFFSET(X42,0,-1)+1</f>
        <v>1</v>
      </c>
      <c r="Y42" s="311">
        <f ca="1">OFFSET(Y42,0,-1)+1</f>
        <v>2</v>
      </c>
      <c r="Z42" s="779">
        <f ca="1">OFFSET(Z42,0,-1)+1</f>
        <v>3</v>
      </c>
      <c r="AA42" s="1347">
        <f ca="1">OFFSET(AA42,0,-1)+1</f>
        <v>4</v>
      </c>
      <c r="AB42" s="1347"/>
      <c r="AC42" s="779">
        <f ca="1">OFFSET(AC42,0,-2)+1</f>
        <v>5</v>
      </c>
      <c r="AD42" s="779">
        <f ca="1">OFFSET(AD42,0,-1)+1</f>
        <v>6</v>
      </c>
      <c r="AE42" s="779"/>
      <c r="AF42" s="311">
        <f ca="1">OFFSET(AF42,0,-1)+1</f>
        <v>1</v>
      </c>
      <c r="AG42" s="311">
        <f ca="1">OFFSET(AG42,0,-1)+1</f>
        <v>2</v>
      </c>
      <c r="AH42" s="779">
        <f ca="1">OFFSET(AH42,0,-1)+1</f>
        <v>3</v>
      </c>
      <c r="AI42" s="1347">
        <f ca="1">OFFSET(AI42,0,-1)+1</f>
        <v>4</v>
      </c>
      <c r="AJ42" s="1347"/>
      <c r="AK42" s="779">
        <f ca="1">OFFSET(AK42,0,-2)+1</f>
        <v>5</v>
      </c>
      <c r="AL42" s="767">
        <f ca="1">OFFSET(AL42,0,-1)</f>
        <v>5</v>
      </c>
      <c r="AM42" s="779">
        <f ca="1">OFFSET(AM42,0,-1)+1</f>
        <v>6</v>
      </c>
      <c r="AN42" s="77"/>
      <c r="AO42" s="77"/>
      <c r="AP42" s="77"/>
      <c r="AQ42" s="77"/>
      <c r="AR42" s="77"/>
    </row>
    <row r="43" spans="1:44" ht="21" customHeight="1">
      <c r="A43" s="822" t="s">
        <v>198</v>
      </c>
      <c r="B43" s="822"/>
      <c r="C43" s="822"/>
      <c r="D43" s="822"/>
      <c r="E43" s="1337">
        <v>1</v>
      </c>
      <c r="F43" s="822"/>
      <c r="G43" s="822"/>
      <c r="H43" s="822"/>
      <c r="I43" s="822"/>
      <c r="J43" s="822"/>
      <c r="K43" s="822"/>
      <c r="L43" s="823"/>
      <c r="M43" s="452"/>
      <c r="N43" s="452"/>
      <c r="O43" s="452"/>
      <c r="Q43" s="43"/>
      <c r="R43" s="220"/>
      <c r="S43" s="755">
        <f>INDEX(PT_DIFFERENTIATION_NUM_NTAR,MATCH(A43,PT_DIFFERENTIATION_NTAR_ID,0))</f>
        <v>0</v>
      </c>
      <c r="T43" s="76" t="s">
        <v>124</v>
      </c>
      <c r="U43" s="179"/>
      <c r="V43" s="1331"/>
      <c r="W43" s="1332"/>
      <c r="X43" s="1332"/>
      <c r="Y43" s="1332"/>
      <c r="Z43" s="1332"/>
      <c r="AA43" s="1332"/>
      <c r="AB43" s="1332"/>
      <c r="AC43" s="1333"/>
      <c r="AD43" s="1331" t="str">
        <f>INDEX(PT_DIFFERENTIATION_NTAR,MATCH(A43,PT_DIFFERENTIATION_NTAR_ID,0))</f>
        <v/>
      </c>
      <c r="AE43" s="1332"/>
      <c r="AF43" s="1332"/>
      <c r="AG43" s="1332"/>
      <c r="AH43" s="1332"/>
      <c r="AI43" s="1332"/>
      <c r="AJ43" s="1332"/>
      <c r="AK43" s="1332"/>
      <c r="AL43" s="1333"/>
      <c r="AM43" s="782" t="s">
        <v>1461</v>
      </c>
      <c r="AO43" s="79"/>
      <c r="AP43" s="79" t="str">
        <f t="shared" ref="AP43:AP57" si="1">IF(T43="","",T43)</f>
        <v>Наименование тарифа</v>
      </c>
      <c r="AQ43" s="79"/>
      <c r="AR43" s="79"/>
    </row>
    <row r="44" spans="1:44" ht="21" customHeight="1">
      <c r="A44" s="822" t="s">
        <v>198</v>
      </c>
      <c r="B44" s="822" t="s">
        <v>199</v>
      </c>
      <c r="C44" s="822"/>
      <c r="D44" s="822"/>
      <c r="E44" s="1338"/>
      <c r="F44" s="1337">
        <v>1</v>
      </c>
      <c r="G44" s="822"/>
      <c r="H44" s="822"/>
      <c r="I44" s="822"/>
      <c r="J44" s="822"/>
      <c r="K44" s="822"/>
      <c r="L44" s="823"/>
      <c r="M44" s="452"/>
      <c r="N44" s="452"/>
      <c r="O44" s="452"/>
      <c r="P44" s="68"/>
      <c r="Q44" s="217"/>
      <c r="R44" s="218"/>
      <c r="S44" s="755" t="str">
        <f>INDEX(PT_DIFFERENTIATION_NUM_TER,MATCH(B44,PT_DIFFERENTIATION_TER_ID,0))</f>
        <v>.</v>
      </c>
      <c r="T44" s="187" t="s">
        <v>1462</v>
      </c>
      <c r="U44" s="179"/>
      <c r="V44" s="1331"/>
      <c r="W44" s="1332"/>
      <c r="X44" s="1332"/>
      <c r="Y44" s="1332"/>
      <c r="Z44" s="1332"/>
      <c r="AA44" s="1332"/>
      <c r="AB44" s="1332"/>
      <c r="AC44" s="1333"/>
      <c r="AD44" s="1331" t="str">
        <f>INDEX(PT_DIFFERENTIATION_TER,MATCH(B44,PT_DIFFERENTIATION_TER_ID,0))</f>
        <v/>
      </c>
      <c r="AE44" s="1332"/>
      <c r="AF44" s="1332"/>
      <c r="AG44" s="1332"/>
      <c r="AH44" s="1332"/>
      <c r="AI44" s="1332"/>
      <c r="AJ44" s="1332"/>
      <c r="AK44" s="1332"/>
      <c r="AL44" s="1333"/>
      <c r="AM44" s="782" t="s">
        <v>1463</v>
      </c>
      <c r="AO44" s="79"/>
      <c r="AP44" s="79" t="str">
        <f t="shared" si="1"/>
        <v>Территория действия тарифа</v>
      </c>
      <c r="AQ44" s="79"/>
      <c r="AR44" s="79"/>
    </row>
    <row r="45" spans="1:44" ht="23.25" customHeight="1">
      <c r="A45" s="822" t="s">
        <v>198</v>
      </c>
      <c r="B45" s="822" t="s">
        <v>199</v>
      </c>
      <c r="C45" s="822" t="s">
        <v>200</v>
      </c>
      <c r="D45" s="822"/>
      <c r="E45" s="1338"/>
      <c r="F45" s="1338"/>
      <c r="G45" s="1337">
        <v>1</v>
      </c>
      <c r="H45" s="822"/>
      <c r="I45" s="822"/>
      <c r="J45" s="822"/>
      <c r="K45" s="822"/>
      <c r="L45" s="823"/>
      <c r="M45" s="452"/>
      <c r="N45" s="452"/>
      <c r="O45" s="452"/>
      <c r="P45" s="219"/>
      <c r="Q45" s="217"/>
      <c r="R45" s="218"/>
      <c r="S45" s="755" t="str">
        <f>INDEX(PT_DIFFERENTIATION_NUM_CS,MATCH(C45,PT_DIFFERENTIATION_CS_ID,0))</f>
        <v>..</v>
      </c>
      <c r="T45" s="188" t="s">
        <v>1464</v>
      </c>
      <c r="U45" s="179"/>
      <c r="V45" s="1331"/>
      <c r="W45" s="1332"/>
      <c r="X45" s="1332"/>
      <c r="Y45" s="1332"/>
      <c r="Z45" s="1332"/>
      <c r="AA45" s="1332"/>
      <c r="AB45" s="1332"/>
      <c r="AC45" s="1333"/>
      <c r="AD45" s="1331" t="str">
        <f>INDEX(PT_DIFFERENTIATION_CS,MATCH(C45,PT_DIFFERENTIATION_CS_ID,0))</f>
        <v/>
      </c>
      <c r="AE45" s="1332"/>
      <c r="AF45" s="1332"/>
      <c r="AG45" s="1332"/>
      <c r="AH45" s="1332"/>
      <c r="AI45" s="1332"/>
      <c r="AJ45" s="1332"/>
      <c r="AK45" s="1332"/>
      <c r="AL45" s="1333"/>
      <c r="AM45" s="782" t="s">
        <v>1465</v>
      </c>
      <c r="AO45" s="79"/>
      <c r="AP45" s="79" t="str">
        <f t="shared" si="1"/>
        <v xml:space="preserve">Наименование системы теплоснабжения </v>
      </c>
      <c r="AQ45" s="79"/>
      <c r="AR45" s="79"/>
    </row>
    <row r="46" spans="1:44" ht="21" customHeight="1">
      <c r="A46" s="822" t="s">
        <v>198</v>
      </c>
      <c r="B46" s="822" t="s">
        <v>199</v>
      </c>
      <c r="C46" s="822" t="s">
        <v>200</v>
      </c>
      <c r="D46" s="822" t="s">
        <v>201</v>
      </c>
      <c r="E46" s="1338"/>
      <c r="F46" s="1338"/>
      <c r="G46" s="1338"/>
      <c r="H46" s="1337">
        <v>1</v>
      </c>
      <c r="I46" s="822"/>
      <c r="J46" s="822"/>
      <c r="K46" s="822"/>
      <c r="L46" s="823"/>
      <c r="M46" s="452"/>
      <c r="N46" s="452"/>
      <c r="O46" s="452"/>
      <c r="P46" s="219"/>
      <c r="Q46" s="217"/>
      <c r="R46" s="218"/>
      <c r="S46" s="755" t="str">
        <f>INDEX(PT_DIFFERENTIATION_NUM_IST_TE,MATCH(D46,PT_DIFFERENTIATION_IST_TE_ID,0))</f>
        <v>...</v>
      </c>
      <c r="T46" s="189" t="s">
        <v>1466</v>
      </c>
      <c r="U46" s="179"/>
      <c r="V46" s="1331"/>
      <c r="W46" s="1332"/>
      <c r="X46" s="1332"/>
      <c r="Y46" s="1332"/>
      <c r="Z46" s="1332"/>
      <c r="AA46" s="1332"/>
      <c r="AB46" s="1332"/>
      <c r="AC46" s="1333"/>
      <c r="AD46" s="1331" t="str">
        <f>INDEX(PT_DIFFERENTIATION_IST_TE,MATCH(D46,PT_DIFFERENTIATION_IST_TE_ID,0))</f>
        <v/>
      </c>
      <c r="AE46" s="1332"/>
      <c r="AF46" s="1332"/>
      <c r="AG46" s="1332"/>
      <c r="AH46" s="1332"/>
      <c r="AI46" s="1332"/>
      <c r="AJ46" s="1332"/>
      <c r="AK46" s="1332"/>
      <c r="AL46" s="1333"/>
      <c r="AM46" s="782" t="s">
        <v>1467</v>
      </c>
      <c r="AO46" s="79"/>
      <c r="AP46" s="79" t="str">
        <f t="shared" si="1"/>
        <v xml:space="preserve">Источник тепловой энергии  </v>
      </c>
      <c r="AQ46" s="79"/>
      <c r="AR46" s="79"/>
    </row>
    <row r="47" spans="1:44" ht="47.25" customHeight="1">
      <c r="A47" s="822" t="s">
        <v>198</v>
      </c>
      <c r="B47" s="822" t="s">
        <v>199</v>
      </c>
      <c r="C47" s="822" t="s">
        <v>200</v>
      </c>
      <c r="D47" s="822" t="s">
        <v>201</v>
      </c>
      <c r="E47" s="1338"/>
      <c r="F47" s="1338"/>
      <c r="G47" s="1338"/>
      <c r="H47" s="1338"/>
      <c r="I47" s="1339" t="str">
        <f>S46&amp;".1"</f>
        <v>....1</v>
      </c>
      <c r="J47" s="822"/>
      <c r="K47" s="822"/>
      <c r="L47" s="823" t="s">
        <v>1468</v>
      </c>
      <c r="P47" s="1259">
        <v>1</v>
      </c>
      <c r="Q47" s="127"/>
      <c r="R47" s="221"/>
      <c r="S47" s="755" t="str">
        <f>$I47</f>
        <v>....1</v>
      </c>
      <c r="T47" s="172" t="s">
        <v>1469</v>
      </c>
      <c r="U47" s="179"/>
      <c r="V47" s="1326"/>
      <c r="W47" s="1327"/>
      <c r="X47" s="1327"/>
      <c r="Y47" s="1327"/>
      <c r="Z47" s="1327"/>
      <c r="AA47" s="1327"/>
      <c r="AB47" s="1327"/>
      <c r="AC47" s="1328"/>
      <c r="AD47" s="1326"/>
      <c r="AE47" s="1327"/>
      <c r="AF47" s="1327"/>
      <c r="AG47" s="1327"/>
      <c r="AH47" s="1327"/>
      <c r="AI47" s="1327"/>
      <c r="AJ47" s="1327"/>
      <c r="AK47" s="1327"/>
      <c r="AL47" s="1328"/>
      <c r="AM47" s="782" t="s">
        <v>1470</v>
      </c>
      <c r="AO47" s="79"/>
      <c r="AP47" s="79" t="str">
        <f t="shared" si="1"/>
        <v>Схема подключения теплопотребляющей установки к коллектору источника тепловой энергии</v>
      </c>
      <c r="AQ47" s="79"/>
      <c r="AR47" s="79"/>
    </row>
    <row r="48" spans="1:44" ht="21" customHeight="1">
      <c r="A48" s="822" t="s">
        <v>198</v>
      </c>
      <c r="B48" s="822" t="s">
        <v>199</v>
      </c>
      <c r="C48" s="822" t="s">
        <v>200</v>
      </c>
      <c r="D48" s="822" t="s">
        <v>201</v>
      </c>
      <c r="E48" s="1338"/>
      <c r="F48" s="1338"/>
      <c r="G48" s="1338"/>
      <c r="H48" s="1338"/>
      <c r="I48" s="1340"/>
      <c r="J48" s="1339" t="str">
        <f>I47&amp;".1"</f>
        <v>....1.1</v>
      </c>
      <c r="K48" s="822"/>
      <c r="L48" s="823" t="s">
        <v>1471</v>
      </c>
      <c r="P48" s="1259"/>
      <c r="Q48" s="1259">
        <v>1</v>
      </c>
      <c r="R48" s="222"/>
      <c r="S48" s="755" t="str">
        <f>$J48</f>
        <v>....1.1</v>
      </c>
      <c r="T48" s="173" t="s">
        <v>1472</v>
      </c>
      <c r="U48" s="179"/>
      <c r="V48" s="1326"/>
      <c r="W48" s="1327"/>
      <c r="X48" s="1327"/>
      <c r="Y48" s="1327"/>
      <c r="Z48" s="1327"/>
      <c r="AA48" s="1327"/>
      <c r="AB48" s="1327"/>
      <c r="AC48" s="1328"/>
      <c r="AD48" s="1326"/>
      <c r="AE48" s="1327"/>
      <c r="AF48" s="1327"/>
      <c r="AG48" s="1327"/>
      <c r="AH48" s="1327"/>
      <c r="AI48" s="1327"/>
      <c r="AJ48" s="1327"/>
      <c r="AK48" s="1327"/>
      <c r="AL48" s="1328"/>
      <c r="AM48" s="782" t="s">
        <v>1473</v>
      </c>
      <c r="AO48" s="79"/>
      <c r="AP48" s="79" t="str">
        <f t="shared" si="1"/>
        <v>Группа потребителей</v>
      </c>
      <c r="AQ48" s="79"/>
      <c r="AR48" s="79"/>
    </row>
    <row r="49" spans="1:44" ht="21" customHeight="1">
      <c r="A49" s="822" t="s">
        <v>198</v>
      </c>
      <c r="B49" s="822" t="s">
        <v>199</v>
      </c>
      <c r="C49" s="822" t="s">
        <v>200</v>
      </c>
      <c r="D49" s="822" t="s">
        <v>201</v>
      </c>
      <c r="E49" s="1338"/>
      <c r="F49" s="1338"/>
      <c r="G49" s="1338"/>
      <c r="H49" s="1338"/>
      <c r="I49" s="1340"/>
      <c r="J49" s="1340"/>
      <c r="K49" s="1339" t="str">
        <f>J48&amp;".1"</f>
        <v>....1.1.1</v>
      </c>
      <c r="L49" s="823" t="s">
        <v>1474</v>
      </c>
      <c r="P49" s="1259"/>
      <c r="Q49" s="1259"/>
      <c r="R49" s="222">
        <v>1</v>
      </c>
      <c r="S49" s="755" t="str">
        <f>$K49</f>
        <v>....1.1.1</v>
      </c>
      <c r="T49" s="821"/>
      <c r="U49" s="179"/>
      <c r="V49" s="1055"/>
      <c r="W49" s="1054"/>
      <c r="X49" s="1055"/>
      <c r="Y49" s="1062"/>
      <c r="Z49" s="1341"/>
      <c r="AA49" s="1133" t="s">
        <v>67</v>
      </c>
      <c r="AB49" s="1341"/>
      <c r="AC49" s="1133" t="s">
        <v>67</v>
      </c>
      <c r="AD49" s="1055"/>
      <c r="AE49" s="1054"/>
      <c r="AF49" s="1055"/>
      <c r="AG49" s="1062"/>
      <c r="AH49" s="1341"/>
      <c r="AI49" s="1133" t="s">
        <v>67</v>
      </c>
      <c r="AJ49" s="1343"/>
      <c r="AK49" s="1133" t="s">
        <v>67</v>
      </c>
      <c r="AL49" s="1060"/>
      <c r="AM49" s="1359" t="s">
        <v>1475</v>
      </c>
      <c r="AN49" s="77" t="e">
        <f ca="1">STRCHECKDATE(V50:AL50)</f>
        <v>#NAME?</v>
      </c>
      <c r="AO49" s="79"/>
      <c r="AP49" s="79" t="str">
        <f t="shared" si="1"/>
        <v/>
      </c>
      <c r="AQ49" s="79"/>
      <c r="AR49" s="79"/>
    </row>
    <row r="50" spans="1:44" ht="0.75" customHeight="1">
      <c r="A50" s="822" t="s">
        <v>198</v>
      </c>
      <c r="B50" s="822" t="s">
        <v>199</v>
      </c>
      <c r="C50" s="822" t="s">
        <v>200</v>
      </c>
      <c r="D50" s="822" t="s">
        <v>201</v>
      </c>
      <c r="E50" s="1338"/>
      <c r="F50" s="1338"/>
      <c r="G50" s="1338"/>
      <c r="H50" s="1338"/>
      <c r="I50" s="1340"/>
      <c r="J50" s="1340"/>
      <c r="K50" s="1339"/>
      <c r="L50" s="823"/>
      <c r="P50" s="1259"/>
      <c r="Q50" s="1259"/>
      <c r="R50" s="222"/>
      <c r="S50" s="74"/>
      <c r="T50" s="179"/>
      <c r="U50" s="179"/>
      <c r="V50" s="1055"/>
      <c r="W50" s="1055"/>
      <c r="X50" s="1055"/>
      <c r="Y50" s="1057" t="str">
        <f>Z49&amp;"-"&amp;AB49</f>
        <v>-</v>
      </c>
      <c r="Z50" s="1342"/>
      <c r="AA50" s="1133"/>
      <c r="AB50" s="1342"/>
      <c r="AC50" s="1133"/>
      <c r="AD50" s="1055"/>
      <c r="AE50" s="1055"/>
      <c r="AF50" s="1055"/>
      <c r="AG50" s="1057" t="str">
        <f>AH49&amp;"-"&amp;AJ49</f>
        <v>-</v>
      </c>
      <c r="AH50" s="1342"/>
      <c r="AI50" s="1133"/>
      <c r="AJ50" s="1344"/>
      <c r="AK50" s="1133"/>
      <c r="AL50" s="1061"/>
      <c r="AM50" s="1360"/>
      <c r="AO50" s="79"/>
      <c r="AP50" s="79" t="str">
        <f t="shared" si="1"/>
        <v/>
      </c>
      <c r="AQ50" s="79"/>
      <c r="AR50" s="79"/>
    </row>
    <row r="51" spans="1:44" ht="11.25" customHeight="1">
      <c r="A51" s="822" t="s">
        <v>198</v>
      </c>
      <c r="B51" s="822" t="s">
        <v>199</v>
      </c>
      <c r="C51" s="822" t="s">
        <v>200</v>
      </c>
      <c r="D51" s="822" t="s">
        <v>201</v>
      </c>
      <c r="E51" s="1338"/>
      <c r="F51" s="1338"/>
      <c r="G51" s="1338"/>
      <c r="H51" s="1338"/>
      <c r="I51" s="1340"/>
      <c r="J51" s="1339"/>
      <c r="K51" s="822"/>
      <c r="L51" s="823"/>
      <c r="P51" s="1259"/>
      <c r="Q51" s="1259"/>
      <c r="R51" s="221"/>
      <c r="S51" s="796"/>
      <c r="T51" s="175" t="s">
        <v>1476</v>
      </c>
      <c r="U51" s="228"/>
      <c r="V51" s="228"/>
      <c r="W51" s="228"/>
      <c r="X51" s="228"/>
      <c r="Y51" s="228"/>
      <c r="Z51" s="228"/>
      <c r="AA51" s="228"/>
      <c r="AB51" s="228"/>
      <c r="AC51" s="228"/>
      <c r="AD51" s="228"/>
      <c r="AE51" s="228"/>
      <c r="AF51" s="228"/>
      <c r="AG51" s="228"/>
      <c r="AH51" s="228"/>
      <c r="AI51" s="228"/>
      <c r="AJ51" s="228"/>
      <c r="AK51" s="228"/>
      <c r="AL51" s="204"/>
      <c r="AM51" s="1361"/>
      <c r="AO51" s="79"/>
      <c r="AP51" s="79" t="str">
        <f t="shared" si="1"/>
        <v>Добавить вид теплоносителя (параметры теплоносителя)</v>
      </c>
      <c r="AQ51" s="79"/>
      <c r="AR51" s="79"/>
    </row>
    <row r="52" spans="1:44" ht="11.25" customHeight="1">
      <c r="A52" s="822" t="s">
        <v>198</v>
      </c>
      <c r="B52" s="822" t="s">
        <v>199</v>
      </c>
      <c r="C52" s="822" t="s">
        <v>200</v>
      </c>
      <c r="D52" s="822" t="s">
        <v>201</v>
      </c>
      <c r="E52" s="1338"/>
      <c r="F52" s="1338"/>
      <c r="G52" s="1338"/>
      <c r="H52" s="1338"/>
      <c r="I52" s="1339"/>
      <c r="J52" s="822"/>
      <c r="K52" s="822"/>
      <c r="L52" s="823"/>
      <c r="P52" s="1259"/>
      <c r="Q52" s="127"/>
      <c r="R52" s="221"/>
      <c r="S52" s="796"/>
      <c r="T52" s="174" t="s">
        <v>1477</v>
      </c>
      <c r="U52" s="228"/>
      <c r="V52" s="228"/>
      <c r="W52" s="228"/>
      <c r="X52" s="228"/>
      <c r="Y52" s="228"/>
      <c r="Z52" s="228"/>
      <c r="AA52" s="228"/>
      <c r="AB52" s="228"/>
      <c r="AC52" s="205"/>
      <c r="AD52" s="228"/>
      <c r="AE52" s="228"/>
      <c r="AF52" s="228"/>
      <c r="AG52" s="228"/>
      <c r="AH52" s="228"/>
      <c r="AI52" s="228"/>
      <c r="AJ52" s="228"/>
      <c r="AK52" s="205"/>
      <c r="AL52" s="228"/>
      <c r="AM52" s="182"/>
      <c r="AO52" s="79"/>
      <c r="AP52" s="79" t="str">
        <f t="shared" si="1"/>
        <v>Добавить группу потребителей</v>
      </c>
      <c r="AQ52" s="79"/>
      <c r="AR52" s="79"/>
    </row>
    <row r="53" spans="1:44" ht="14.25" customHeight="1">
      <c r="A53" s="822" t="s">
        <v>198</v>
      </c>
      <c r="B53" s="822" t="s">
        <v>199</v>
      </c>
      <c r="C53" s="822" t="s">
        <v>200</v>
      </c>
      <c r="D53" s="822" t="s">
        <v>201</v>
      </c>
      <c r="E53" s="1338"/>
      <c r="F53" s="1338"/>
      <c r="G53" s="1338"/>
      <c r="H53" s="1337"/>
      <c r="I53" s="822"/>
      <c r="J53" s="822"/>
      <c r="K53" s="822"/>
      <c r="L53" s="823"/>
      <c r="M53" s="452"/>
      <c r="N53" s="452"/>
      <c r="O53" s="72"/>
      <c r="P53" s="43"/>
      <c r="Q53" s="231"/>
      <c r="R53" s="220"/>
      <c r="S53" s="796"/>
      <c r="T53" s="226" t="s">
        <v>1478</v>
      </c>
      <c r="U53" s="228"/>
      <c r="V53" s="228"/>
      <c r="W53" s="228"/>
      <c r="X53" s="228"/>
      <c r="Y53" s="228"/>
      <c r="Z53" s="228"/>
      <c r="AA53" s="228"/>
      <c r="AB53" s="228"/>
      <c r="AC53" s="205"/>
      <c r="AD53" s="228"/>
      <c r="AE53" s="228"/>
      <c r="AF53" s="228"/>
      <c r="AG53" s="228"/>
      <c r="AH53" s="228"/>
      <c r="AI53" s="228"/>
      <c r="AJ53" s="228"/>
      <c r="AK53" s="205"/>
      <c r="AL53" s="228"/>
      <c r="AM53" s="182"/>
      <c r="AO53" s="79"/>
      <c r="AP53" s="79" t="str">
        <f t="shared" si="1"/>
        <v>Добавить схему подключения</v>
      </c>
      <c r="AQ53" s="79"/>
      <c r="AR53" s="79"/>
    </row>
    <row r="54" spans="1:44" s="77" customFormat="1" ht="0.75" customHeight="1">
      <c r="A54" s="150" t="s">
        <v>198</v>
      </c>
      <c r="B54" s="150" t="s">
        <v>199</v>
      </c>
      <c r="C54" s="150" t="s">
        <v>200</v>
      </c>
      <c r="D54" s="150"/>
      <c r="E54" s="1338"/>
      <c r="F54" s="1338"/>
      <c r="G54" s="1337"/>
      <c r="H54" s="150"/>
      <c r="I54" s="150"/>
      <c r="J54" s="150"/>
      <c r="K54" s="150"/>
      <c r="L54" s="373"/>
      <c r="M54" s="318"/>
      <c r="N54" s="318"/>
      <c r="P54" s="111"/>
      <c r="Q54" s="811"/>
      <c r="R54" s="111"/>
      <c r="S54" s="816"/>
      <c r="T54" s="818" t="s">
        <v>1437</v>
      </c>
      <c r="U54" s="338"/>
      <c r="V54" s="338"/>
      <c r="W54" s="338"/>
      <c r="X54" s="338"/>
      <c r="Y54" s="338"/>
      <c r="Z54" s="338"/>
      <c r="AA54" s="338"/>
      <c r="AB54" s="338"/>
      <c r="AC54" s="338"/>
      <c r="AD54" s="338"/>
      <c r="AE54" s="338"/>
      <c r="AF54" s="338"/>
      <c r="AG54" s="338"/>
      <c r="AH54" s="338"/>
      <c r="AI54" s="338"/>
      <c r="AJ54" s="338"/>
      <c r="AK54" s="338"/>
      <c r="AL54" s="338"/>
      <c r="AM54" s="338"/>
      <c r="AO54" s="79"/>
      <c r="AP54" s="79" t="str">
        <f t="shared" si="1"/>
        <v>Добавить источник для дифференциации</v>
      </c>
      <c r="AQ54" s="79"/>
      <c r="AR54" s="79"/>
    </row>
    <row r="55" spans="1:44" s="77" customFormat="1" ht="0.75" customHeight="1">
      <c r="A55" s="150" t="s">
        <v>198</v>
      </c>
      <c r="B55" s="150" t="s">
        <v>199</v>
      </c>
      <c r="C55" s="150"/>
      <c r="D55" s="150"/>
      <c r="E55" s="1338"/>
      <c r="F55" s="1337"/>
      <c r="G55" s="150"/>
      <c r="H55" s="150"/>
      <c r="I55" s="150"/>
      <c r="J55" s="150"/>
      <c r="K55" s="150"/>
      <c r="L55" s="373"/>
      <c r="M55" s="815"/>
      <c r="N55" s="815"/>
      <c r="P55" s="111"/>
      <c r="Q55" s="811"/>
      <c r="R55" s="111"/>
      <c r="S55" s="816"/>
      <c r="T55" s="818" t="s">
        <v>1438</v>
      </c>
      <c r="U55" s="338"/>
      <c r="V55" s="338"/>
      <c r="W55" s="338"/>
      <c r="X55" s="338"/>
      <c r="Y55" s="338"/>
      <c r="Z55" s="338"/>
      <c r="AA55" s="338"/>
      <c r="AB55" s="338"/>
      <c r="AC55" s="338"/>
      <c r="AD55" s="338"/>
      <c r="AE55" s="338"/>
      <c r="AF55" s="338"/>
      <c r="AG55" s="338"/>
      <c r="AH55" s="338"/>
      <c r="AI55" s="338"/>
      <c r="AJ55" s="338"/>
      <c r="AK55" s="338"/>
      <c r="AL55" s="338"/>
      <c r="AM55" s="338"/>
      <c r="AO55" s="79"/>
      <c r="AP55" s="79" t="str">
        <f t="shared" si="1"/>
        <v>Добавить централизованную систему для дифференциации</v>
      </c>
      <c r="AQ55" s="79"/>
      <c r="AR55" s="79"/>
    </row>
    <row r="56" spans="1:44" s="77" customFormat="1" ht="0.75" customHeight="1">
      <c r="A56" s="150" t="s">
        <v>198</v>
      </c>
      <c r="B56" s="150"/>
      <c r="C56" s="150"/>
      <c r="D56" s="150"/>
      <c r="E56" s="1337"/>
      <c r="F56" s="150"/>
      <c r="G56" s="150"/>
      <c r="H56" s="150"/>
      <c r="I56" s="150"/>
      <c r="J56" s="150"/>
      <c r="K56" s="150"/>
      <c r="L56" s="373"/>
      <c r="M56" s="815"/>
      <c r="N56" s="815"/>
      <c r="P56" s="111"/>
      <c r="Q56" s="811"/>
      <c r="R56" s="111"/>
      <c r="S56" s="816"/>
      <c r="T56" s="818" t="s">
        <v>1439</v>
      </c>
      <c r="U56" s="338"/>
      <c r="V56" s="338"/>
      <c r="W56" s="338"/>
      <c r="X56" s="338"/>
      <c r="Y56" s="338"/>
      <c r="Z56" s="338"/>
      <c r="AA56" s="338"/>
      <c r="AB56" s="338"/>
      <c r="AC56" s="338"/>
      <c r="AD56" s="338"/>
      <c r="AE56" s="338"/>
      <c r="AF56" s="338"/>
      <c r="AG56" s="338"/>
      <c r="AH56" s="338"/>
      <c r="AI56" s="338"/>
      <c r="AJ56" s="338"/>
      <c r="AK56" s="338"/>
      <c r="AL56" s="338"/>
      <c r="AM56" s="338"/>
      <c r="AO56" s="79"/>
      <c r="AP56" s="79" t="str">
        <f t="shared" si="1"/>
        <v>Добавить территорию для дифференциации</v>
      </c>
      <c r="AQ56" s="79"/>
      <c r="AR56" s="79"/>
    </row>
    <row r="57" spans="1:44" s="77" customFormat="1" ht="0.75" customHeight="1">
      <c r="A57" s="150"/>
      <c r="B57" s="150"/>
      <c r="C57" s="150"/>
      <c r="D57" s="150"/>
      <c r="E57" s="150"/>
      <c r="F57" s="150"/>
      <c r="G57" s="150"/>
      <c r="H57" s="150"/>
      <c r="I57" s="150"/>
      <c r="J57" s="150"/>
      <c r="K57" s="150"/>
      <c r="L57" s="373"/>
      <c r="M57" s="815"/>
      <c r="N57" s="815"/>
      <c r="P57" s="111"/>
      <c r="Q57" s="811"/>
      <c r="R57" s="111"/>
      <c r="S57" s="816"/>
      <c r="T57" s="818" t="s">
        <v>1440</v>
      </c>
      <c r="U57" s="338"/>
      <c r="V57" s="338"/>
      <c r="W57" s="338"/>
      <c r="X57" s="338"/>
      <c r="Y57" s="338"/>
      <c r="Z57" s="338"/>
      <c r="AA57" s="338"/>
      <c r="AB57" s="338"/>
      <c r="AC57" s="338"/>
      <c r="AD57" s="338"/>
      <c r="AE57" s="338"/>
      <c r="AF57" s="338"/>
      <c r="AG57" s="338"/>
      <c r="AH57" s="338"/>
      <c r="AI57" s="338"/>
      <c r="AJ57" s="338"/>
      <c r="AK57" s="338"/>
      <c r="AL57" s="338"/>
      <c r="AM57" s="338"/>
      <c r="AO57" s="79"/>
      <c r="AP57" s="79" t="str">
        <f t="shared" si="1"/>
        <v>Добавить наименование тарифа</v>
      </c>
      <c r="AQ57" s="79"/>
      <c r="AR57" s="79"/>
    </row>
    <row r="58" spans="1:44" ht="11.25" hidden="1" customHeight="1">
      <c r="M58" s="72"/>
      <c r="N58" s="72"/>
      <c r="O58" s="72"/>
      <c r="P58" s="24"/>
      <c r="Q58" s="24"/>
      <c r="R58" s="24"/>
      <c r="S58" s="24"/>
      <c r="AN58" s="24"/>
      <c r="AO58" s="24"/>
      <c r="AP58" s="24"/>
      <c r="AQ58" s="24"/>
      <c r="AR58" s="24"/>
    </row>
    <row r="59" spans="1:44" ht="27" hidden="1" customHeight="1">
      <c r="O59" s="72"/>
      <c r="S59" s="210" t="s">
        <v>1510</v>
      </c>
      <c r="T59" s="1336" t="s">
        <v>1517</v>
      </c>
      <c r="U59" s="1336"/>
      <c r="V59" s="1336"/>
      <c r="W59" s="1336"/>
      <c r="X59" s="1336"/>
      <c r="Y59" s="1336"/>
      <c r="Z59" s="1336"/>
      <c r="AA59" s="1336"/>
      <c r="AB59" s="1336"/>
      <c r="AC59" s="1336"/>
      <c r="AD59" s="1336"/>
      <c r="AE59" s="1336"/>
      <c r="AF59" s="1336"/>
      <c r="AG59" s="1336"/>
      <c r="AH59" s="1336"/>
      <c r="AI59" s="1336"/>
      <c r="AJ59" s="1336"/>
      <c r="AK59" s="1336"/>
      <c r="AL59" s="1336"/>
      <c r="AM59" s="1336"/>
    </row>
    <row r="60" spans="1:44" ht="75" hidden="1" customHeight="1">
      <c r="O60" s="72"/>
      <c r="T60" s="1336" t="s">
        <v>1512</v>
      </c>
      <c r="U60" s="1336"/>
      <c r="V60" s="1336"/>
      <c r="W60" s="1336"/>
      <c r="X60" s="1336"/>
      <c r="Y60" s="1336"/>
      <c r="Z60" s="1336"/>
      <c r="AA60" s="1336"/>
      <c r="AB60" s="1336"/>
      <c r="AC60" s="1336"/>
      <c r="AD60" s="1336"/>
      <c r="AE60" s="1336"/>
      <c r="AF60" s="1336"/>
      <c r="AG60" s="1336"/>
      <c r="AH60" s="1336"/>
      <c r="AI60" s="1336"/>
      <c r="AJ60" s="1336"/>
      <c r="AK60" s="1336"/>
      <c r="AL60" s="1336"/>
      <c r="AM60" s="1336"/>
    </row>
    <row r="61" spans="1:44" ht="14.25" hidden="1" customHeight="1">
      <c r="O61" s="72"/>
    </row>
    <row r="62" spans="1:44" ht="18" hidden="1" customHeight="1">
      <c r="O62" s="72"/>
      <c r="S62" s="210" t="s">
        <v>1510</v>
      </c>
      <c r="T62" s="1336" t="s">
        <v>1513</v>
      </c>
      <c r="U62" s="1336"/>
      <c r="V62" s="1336"/>
      <c r="W62" s="1336"/>
      <c r="X62" s="1336"/>
      <c r="Y62" s="1336"/>
      <c r="Z62" s="1336"/>
      <c r="AA62" s="1336"/>
      <c r="AB62" s="1336"/>
      <c r="AC62" s="1336"/>
      <c r="AD62" s="1336"/>
      <c r="AE62" s="1336"/>
      <c r="AF62" s="1336"/>
      <c r="AG62" s="1336"/>
      <c r="AH62" s="1336"/>
      <c r="AI62" s="1336"/>
      <c r="AJ62" s="1336"/>
      <c r="AK62" s="1336"/>
      <c r="AL62" s="1336"/>
      <c r="AM62" s="1336"/>
    </row>
    <row r="63" spans="1:44" ht="18" hidden="1" customHeight="1">
      <c r="O63" s="72"/>
      <c r="T63" s="1336" t="s">
        <v>1514</v>
      </c>
      <c r="U63" s="1336"/>
      <c r="V63" s="1336"/>
      <c r="W63" s="1336"/>
      <c r="X63" s="1336"/>
      <c r="Y63" s="1336"/>
      <c r="Z63" s="1336"/>
      <c r="AA63" s="1336"/>
      <c r="AB63" s="1336"/>
      <c r="AC63" s="1336"/>
      <c r="AD63" s="1336"/>
      <c r="AE63" s="1336"/>
      <c r="AF63" s="1336"/>
      <c r="AG63" s="1336"/>
      <c r="AH63" s="1336"/>
      <c r="AI63" s="1336"/>
      <c r="AJ63" s="1336"/>
      <c r="AK63" s="1336"/>
      <c r="AL63" s="1336"/>
      <c r="AM63" s="1336"/>
    </row>
    <row r="64" spans="1:44" ht="38.25" hidden="1" customHeight="1">
      <c r="O64" s="72"/>
      <c r="S64" s="210"/>
      <c r="T64" s="1336" t="s">
        <v>1515</v>
      </c>
      <c r="U64" s="1336"/>
      <c r="V64" s="1336"/>
      <c r="W64" s="1336"/>
      <c r="X64" s="1336"/>
      <c r="Y64" s="1336"/>
      <c r="Z64" s="1336"/>
      <c r="AA64" s="1336"/>
      <c r="AB64" s="1336"/>
      <c r="AC64" s="1336"/>
      <c r="AD64" s="1336"/>
      <c r="AE64" s="1336"/>
      <c r="AF64" s="1336"/>
      <c r="AG64" s="1336"/>
      <c r="AH64" s="1336"/>
      <c r="AI64" s="1336"/>
      <c r="AJ64" s="1336"/>
      <c r="AK64" s="1336"/>
      <c r="AL64" s="1336"/>
      <c r="AM64" s="1336"/>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1000000}">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2000000}">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11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B91E88-C4F4-73BF-AC7B-D5F9BD38A8ED}">
  <sheetPr>
    <tabColor theme="6" tint="0.39997558519241921"/>
  </sheetPr>
  <dimension ref="A1:AR65"/>
  <sheetViews>
    <sheetView showGridLines="0" topLeftCell="Q25" zoomScale="90" workbookViewId="0"/>
  </sheetViews>
  <sheetFormatPr defaultColWidth="10.5703125" defaultRowHeight="14.25" customHeight="1"/>
  <cols>
    <col min="1" max="1" width="10.5703125" style="72" hidden="1"/>
    <col min="2" max="2" width="11" style="72" hidden="1" customWidth="1"/>
    <col min="3" max="3" width="10.5703125" style="72" hidden="1"/>
    <col min="4" max="4" width="11.85546875" style="72" hidden="1" customWidth="1"/>
    <col min="5" max="5" width="10" style="72" hidden="1" customWidth="1"/>
    <col min="6" max="6" width="8.7109375" style="72" hidden="1" customWidth="1"/>
    <col min="7" max="7" width="7.5703125" style="72" hidden="1" customWidth="1"/>
    <col min="8" max="8" width="11.42578125" style="72" hidden="1" customWidth="1"/>
    <col min="9" max="9" width="12" style="72" hidden="1" customWidth="1"/>
    <col min="10" max="10" width="9.85546875" style="72" hidden="1" customWidth="1"/>
    <col min="11" max="11" width="11.42578125" style="72" hidden="1" customWidth="1"/>
    <col min="12" max="12" width="19.140625" style="388" hidden="1" customWidth="1"/>
    <col min="13" max="14" width="12.28515625" style="541" hidden="1" customWidth="1"/>
    <col min="15" max="15" width="23.42578125" style="541" hidden="1" customWidth="1"/>
    <col min="16" max="16" width="3.7109375" style="42" hidden="1" customWidth="1"/>
    <col min="17" max="18" width="3.7109375" style="37" customWidth="1"/>
    <col min="19" max="19" width="12.7109375" style="368" customWidth="1"/>
    <col min="20" max="20" width="32" style="24" customWidth="1"/>
    <col min="21" max="21" width="0.140625" style="24" customWidth="1"/>
    <col min="22" max="22" width="24.7109375" style="24" hidden="1" customWidth="1"/>
    <col min="23" max="23" width="0.140625" style="24" hidden="1" customWidth="1"/>
    <col min="24" max="25" width="24.7109375" style="24" hidden="1" customWidth="1"/>
    <col min="26" max="26" width="11.7109375" style="24" hidden="1" customWidth="1"/>
    <col min="27" max="27" width="3.7109375" style="24" hidden="1" customWidth="1"/>
    <col min="28" max="28" width="11.7109375" style="24" hidden="1" customWidth="1"/>
    <col min="29" max="29" width="8.5703125" style="24" hidden="1" customWidth="1"/>
    <col min="30" max="30" width="24.7109375" style="24" customWidth="1"/>
    <col min="31" max="31" width="0.140625" style="24" customWidth="1"/>
    <col min="32" max="33" width="24.7109375" style="24" customWidth="1"/>
    <col min="34" max="34" width="11.7109375" style="24" customWidth="1"/>
    <col min="35" max="35" width="3.7109375" style="24" customWidth="1"/>
    <col min="36" max="36" width="11.7109375" style="24" customWidth="1"/>
    <col min="37" max="37" width="8.5703125" style="24" hidden="1" customWidth="1"/>
    <col min="38" max="38" width="4.7109375" style="24" customWidth="1"/>
    <col min="39" max="39" width="115.7109375" style="24" customWidth="1"/>
    <col min="40" max="41" width="10.5703125" style="77"/>
    <col min="42" max="42" width="11.140625" style="77" customWidth="1"/>
    <col min="43" max="44" width="10.5703125" style="77"/>
  </cols>
  <sheetData>
    <row r="1" spans="1:44" ht="14.25" hidden="1" customHeight="1"/>
    <row r="2" spans="1:44" ht="21" hidden="1" customHeight="1">
      <c r="A2" s="822"/>
      <c r="B2" s="822"/>
      <c r="C2" s="822"/>
      <c r="D2" s="822"/>
      <c r="E2" s="1337">
        <v>1</v>
      </c>
      <c r="F2" s="822"/>
      <c r="G2" s="822"/>
      <c r="H2" s="822"/>
      <c r="I2" s="822"/>
      <c r="J2" s="822"/>
      <c r="K2" s="822"/>
      <c r="L2" s="823"/>
      <c r="M2" s="452"/>
      <c r="N2" s="452"/>
      <c r="O2" s="452"/>
      <c r="Q2" s="43"/>
      <c r="R2" s="220"/>
      <c r="S2" s="755" t="e">
        <f>INDEX(PT_DIFFERENTIATION_NUM_NTAR,MATCH(A2,PT_DIFFERENTIATION_NTAR_ID,0))</f>
        <v>#N/A</v>
      </c>
      <c r="T2" s="76" t="s">
        <v>124</v>
      </c>
      <c r="U2" s="179"/>
      <c r="V2" s="1331"/>
      <c r="W2" s="1332"/>
      <c r="X2" s="1332"/>
      <c r="Y2" s="1332"/>
      <c r="Z2" s="1332"/>
      <c r="AA2" s="1332"/>
      <c r="AB2" s="1332"/>
      <c r="AC2" s="1333"/>
      <c r="AD2" s="1331" t="e">
        <f>INDEX(PT_DIFFERENTIATION_NTAR,MATCH(A2,PT_DIFFERENTIATION_NTAR_ID,0))</f>
        <v>#N/A</v>
      </c>
      <c r="AE2" s="1332"/>
      <c r="AF2" s="1332"/>
      <c r="AG2" s="1332"/>
      <c r="AH2" s="1332"/>
      <c r="AI2" s="1332"/>
      <c r="AJ2" s="1332"/>
      <c r="AK2" s="1332"/>
      <c r="AL2" s="1333"/>
      <c r="AM2" s="782" t="s">
        <v>1461</v>
      </c>
      <c r="AO2" s="79"/>
      <c r="AP2" s="79" t="str">
        <f t="shared" ref="AP2:AP15" si="0">IF(T2="","",T2)</f>
        <v>Наименование тарифа</v>
      </c>
      <c r="AQ2" s="79"/>
      <c r="AR2" s="79"/>
    </row>
    <row r="3" spans="1:44" ht="21" hidden="1" customHeight="1">
      <c r="A3" s="822"/>
      <c r="B3" s="822"/>
      <c r="C3" s="822"/>
      <c r="D3" s="822"/>
      <c r="E3" s="1338"/>
      <c r="F3" s="1337">
        <v>1</v>
      </c>
      <c r="G3" s="822"/>
      <c r="H3" s="822"/>
      <c r="I3" s="822"/>
      <c r="J3" s="822"/>
      <c r="K3" s="822"/>
      <c r="L3" s="823"/>
      <c r="M3" s="452"/>
      <c r="N3" s="452"/>
      <c r="O3" s="452"/>
      <c r="P3" s="68"/>
      <c r="Q3" s="217"/>
      <c r="R3" s="218"/>
      <c r="S3" s="755" t="e">
        <f>INDEX(PT_DIFFERENTIATION_NUM_TER,MATCH(B3,PT_DIFFERENTIATION_TER_ID,0))</f>
        <v>#N/A</v>
      </c>
      <c r="T3" s="187" t="s">
        <v>1462</v>
      </c>
      <c r="U3" s="179"/>
      <c r="V3" s="1331"/>
      <c r="W3" s="1332"/>
      <c r="X3" s="1332"/>
      <c r="Y3" s="1332"/>
      <c r="Z3" s="1332"/>
      <c r="AA3" s="1332"/>
      <c r="AB3" s="1332"/>
      <c r="AC3" s="1333"/>
      <c r="AD3" s="1331" t="e">
        <f>INDEX(PT_DIFFERENTIATION_TER,MATCH(B3,PT_DIFFERENTIATION_TER_ID,0))</f>
        <v>#N/A</v>
      </c>
      <c r="AE3" s="1332"/>
      <c r="AF3" s="1332"/>
      <c r="AG3" s="1332"/>
      <c r="AH3" s="1332"/>
      <c r="AI3" s="1332"/>
      <c r="AJ3" s="1332"/>
      <c r="AK3" s="1332"/>
      <c r="AL3" s="1333"/>
      <c r="AM3" s="782" t="s">
        <v>1463</v>
      </c>
      <c r="AO3" s="79"/>
      <c r="AP3" s="79" t="str">
        <f t="shared" si="0"/>
        <v>Территория действия тарифа</v>
      </c>
      <c r="AQ3" s="79"/>
      <c r="AR3" s="79"/>
    </row>
    <row r="4" spans="1:44" ht="23.25" hidden="1" customHeight="1">
      <c r="A4" s="822"/>
      <c r="B4" s="822"/>
      <c r="C4" s="822"/>
      <c r="D4" s="822"/>
      <c r="E4" s="1338"/>
      <c r="F4" s="1338"/>
      <c r="G4" s="1337">
        <v>1</v>
      </c>
      <c r="H4" s="822"/>
      <c r="I4" s="822"/>
      <c r="J4" s="822"/>
      <c r="K4" s="822"/>
      <c r="L4" s="823"/>
      <c r="M4" s="452"/>
      <c r="N4" s="452"/>
      <c r="O4" s="452"/>
      <c r="P4" s="219"/>
      <c r="Q4" s="217"/>
      <c r="R4" s="218"/>
      <c r="S4" s="755" t="e">
        <f>INDEX(PT_DIFFERENTIATION_NUM_CS,MATCH(C4,PT_DIFFERENTIATION_CS_ID,0))</f>
        <v>#N/A</v>
      </c>
      <c r="T4" s="188" t="s">
        <v>1464</v>
      </c>
      <c r="U4" s="179"/>
      <c r="V4" s="1331"/>
      <c r="W4" s="1332"/>
      <c r="X4" s="1332"/>
      <c r="Y4" s="1332"/>
      <c r="Z4" s="1332"/>
      <c r="AA4" s="1332"/>
      <c r="AB4" s="1332"/>
      <c r="AC4" s="1333"/>
      <c r="AD4" s="1331" t="e">
        <f>INDEX(PT_DIFFERENTIATION_CS,MATCH(C4,PT_DIFFERENTIATION_CS_ID,0))</f>
        <v>#N/A</v>
      </c>
      <c r="AE4" s="1332"/>
      <c r="AF4" s="1332"/>
      <c r="AG4" s="1332"/>
      <c r="AH4" s="1332"/>
      <c r="AI4" s="1332"/>
      <c r="AJ4" s="1332"/>
      <c r="AK4" s="1332"/>
      <c r="AL4" s="1333"/>
      <c r="AM4" s="782" t="s">
        <v>1465</v>
      </c>
      <c r="AO4" s="79"/>
      <c r="AP4" s="79" t="str">
        <f t="shared" si="0"/>
        <v xml:space="preserve">Наименование системы теплоснабжения </v>
      </c>
      <c r="AQ4" s="79"/>
      <c r="AR4" s="79"/>
    </row>
    <row r="5" spans="1:44" ht="21" hidden="1" customHeight="1">
      <c r="A5" s="822"/>
      <c r="B5" s="822"/>
      <c r="C5" s="822"/>
      <c r="D5" s="822"/>
      <c r="E5" s="1338"/>
      <c r="F5" s="1338"/>
      <c r="G5" s="1338"/>
      <c r="H5" s="1337">
        <v>1</v>
      </c>
      <c r="I5" s="822"/>
      <c r="J5" s="822"/>
      <c r="K5" s="822"/>
      <c r="L5" s="823"/>
      <c r="M5" s="452"/>
      <c r="N5" s="452"/>
      <c r="O5" s="452"/>
      <c r="P5" s="219"/>
      <c r="Q5" s="217"/>
      <c r="R5" s="218"/>
      <c r="S5" s="755" t="e">
        <f>INDEX(PT_DIFFERENTIATION_NUM_IST_TE,MATCH(D5,PT_DIFFERENTIATION_IST_TE_ID,0))</f>
        <v>#N/A</v>
      </c>
      <c r="T5" s="189" t="s">
        <v>1466</v>
      </c>
      <c r="U5" s="179"/>
      <c r="V5" s="1331"/>
      <c r="W5" s="1332"/>
      <c r="X5" s="1332"/>
      <c r="Y5" s="1332"/>
      <c r="Z5" s="1332"/>
      <c r="AA5" s="1332"/>
      <c r="AB5" s="1332"/>
      <c r="AC5" s="1333"/>
      <c r="AD5" s="1331" t="e">
        <f>INDEX(PT_DIFFERENTIATION_IST_TE,MATCH(D5,PT_DIFFERENTIATION_IST_TE_ID,0))</f>
        <v>#N/A</v>
      </c>
      <c r="AE5" s="1332"/>
      <c r="AF5" s="1332"/>
      <c r="AG5" s="1332"/>
      <c r="AH5" s="1332"/>
      <c r="AI5" s="1332"/>
      <c r="AJ5" s="1332"/>
      <c r="AK5" s="1332"/>
      <c r="AL5" s="1333"/>
      <c r="AM5" s="782" t="s">
        <v>1467</v>
      </c>
      <c r="AO5" s="79"/>
      <c r="AP5" s="79" t="str">
        <f t="shared" si="0"/>
        <v xml:space="preserve">Источник тепловой энергии  </v>
      </c>
      <c r="AQ5" s="79"/>
      <c r="AR5" s="79"/>
    </row>
    <row r="6" spans="1:44" ht="14.25" hidden="1" customHeight="1">
      <c r="A6" s="822"/>
      <c r="B6" s="822"/>
      <c r="C6" s="822"/>
      <c r="D6" s="822"/>
      <c r="E6" s="1338"/>
      <c r="F6" s="1338"/>
      <c r="G6" s="1338"/>
      <c r="H6" s="1338"/>
      <c r="I6" s="1339" t="e">
        <f>S5&amp;".1"</f>
        <v>#N/A</v>
      </c>
      <c r="J6" s="822"/>
      <c r="K6" s="822"/>
      <c r="L6" s="823" t="s">
        <v>1468</v>
      </c>
      <c r="M6" s="72"/>
      <c r="P6" s="1259">
        <v>1</v>
      </c>
      <c r="Q6" s="127"/>
      <c r="R6" s="221"/>
      <c r="S6" s="389"/>
      <c r="T6" s="831"/>
      <c r="U6" s="832"/>
      <c r="V6" s="1365"/>
      <c r="W6" s="1366"/>
      <c r="X6" s="1366"/>
      <c r="Y6" s="1366"/>
      <c r="Z6" s="1366"/>
      <c r="AA6" s="1366"/>
      <c r="AB6" s="1366"/>
      <c r="AC6" s="1367"/>
      <c r="AD6" s="1365"/>
      <c r="AE6" s="1366"/>
      <c r="AF6" s="1366"/>
      <c r="AG6" s="1366"/>
      <c r="AH6" s="1366"/>
      <c r="AI6" s="1366"/>
      <c r="AJ6" s="1366"/>
      <c r="AK6" s="1366"/>
      <c r="AL6" s="1367"/>
      <c r="AM6" s="833"/>
      <c r="AO6" s="79"/>
      <c r="AP6" s="79" t="str">
        <f t="shared" si="0"/>
        <v/>
      </c>
      <c r="AQ6" s="79"/>
      <c r="AR6" s="79"/>
    </row>
    <row r="7" spans="1:44" ht="21" hidden="1" customHeight="1">
      <c r="A7" s="822"/>
      <c r="B7" s="822"/>
      <c r="C7" s="822"/>
      <c r="D7" s="822"/>
      <c r="E7" s="1338"/>
      <c r="F7" s="1338"/>
      <c r="G7" s="1338"/>
      <c r="H7" s="1338"/>
      <c r="I7" s="1340"/>
      <c r="J7" s="1339" t="e">
        <f>I6&amp;".1"</f>
        <v>#N/A</v>
      </c>
      <c r="K7" s="822"/>
      <c r="L7" s="823" t="s">
        <v>1471</v>
      </c>
      <c r="M7" s="72"/>
      <c r="N7" s="72"/>
      <c r="P7" s="1259"/>
      <c r="Q7" s="1259">
        <v>1</v>
      </c>
      <c r="R7" s="222"/>
      <c r="S7" s="755" t="e">
        <f>$J7</f>
        <v>#N/A</v>
      </c>
      <c r="T7" s="173" t="s">
        <v>1472</v>
      </c>
      <c r="U7" s="179"/>
      <c r="V7" s="1326"/>
      <c r="W7" s="1327"/>
      <c r="X7" s="1327"/>
      <c r="Y7" s="1327"/>
      <c r="Z7" s="1327"/>
      <c r="AA7" s="1327"/>
      <c r="AB7" s="1327"/>
      <c r="AC7" s="1328"/>
      <c r="AD7" s="1326"/>
      <c r="AE7" s="1327"/>
      <c r="AF7" s="1327"/>
      <c r="AG7" s="1327"/>
      <c r="AH7" s="1327"/>
      <c r="AI7" s="1327"/>
      <c r="AJ7" s="1327"/>
      <c r="AK7" s="1327"/>
      <c r="AL7" s="1328"/>
      <c r="AM7" s="782" t="s">
        <v>1473</v>
      </c>
      <c r="AO7" s="79"/>
      <c r="AP7" s="79" t="str">
        <f t="shared" si="0"/>
        <v>Группа потребителей</v>
      </c>
      <c r="AQ7" s="79"/>
      <c r="AR7" s="79"/>
    </row>
    <row r="8" spans="1:44" ht="21" hidden="1" customHeight="1">
      <c r="A8" s="822"/>
      <c r="B8" s="822"/>
      <c r="C8" s="822"/>
      <c r="D8" s="822"/>
      <c r="E8" s="1338"/>
      <c r="F8" s="1338"/>
      <c r="G8" s="1338"/>
      <c r="H8" s="1338"/>
      <c r="I8" s="1340"/>
      <c r="J8" s="1340"/>
      <c r="K8" s="1339" t="e">
        <f>J7&amp;".1"</f>
        <v>#N/A</v>
      </c>
      <c r="L8" s="823" t="s">
        <v>1474</v>
      </c>
      <c r="M8" s="72"/>
      <c r="N8" s="72"/>
      <c r="O8" s="72"/>
      <c r="P8" s="1259"/>
      <c r="Q8" s="1259"/>
      <c r="R8" s="222">
        <v>1</v>
      </c>
      <c r="S8" s="755" t="e">
        <f>$K8</f>
        <v>#N/A</v>
      </c>
      <c r="T8" s="821"/>
      <c r="U8" s="179"/>
      <c r="V8" s="1054"/>
      <c r="W8" s="1055"/>
      <c r="X8" s="1054"/>
      <c r="Y8" s="1056"/>
      <c r="Z8" s="1341"/>
      <c r="AA8" s="1133" t="s">
        <v>67</v>
      </c>
      <c r="AB8" s="1341"/>
      <c r="AC8" s="1133" t="s">
        <v>67</v>
      </c>
      <c r="AD8" s="1054"/>
      <c r="AE8" s="1055"/>
      <c r="AF8" s="1054"/>
      <c r="AG8" s="1056"/>
      <c r="AH8" s="1341"/>
      <c r="AI8" s="1133" t="s">
        <v>67</v>
      </c>
      <c r="AJ8" s="1341"/>
      <c r="AK8" s="1133" t="s">
        <v>67</v>
      </c>
      <c r="AL8" s="1055"/>
      <c r="AM8" s="1359" t="s">
        <v>1475</v>
      </c>
      <c r="AN8" s="77" t="e">
        <f ca="1">STRCHECKDATE(V9:AL9)</f>
        <v>#NAME?</v>
      </c>
      <c r="AO8" s="79"/>
      <c r="AP8" s="79" t="str">
        <f t="shared" si="0"/>
        <v/>
      </c>
      <c r="AQ8" s="79"/>
      <c r="AR8" s="79"/>
    </row>
    <row r="9" spans="1:44" ht="0.75" hidden="1" customHeight="1">
      <c r="A9" s="822"/>
      <c r="B9" s="822"/>
      <c r="C9" s="822"/>
      <c r="D9" s="822"/>
      <c r="E9" s="1338"/>
      <c r="F9" s="1338"/>
      <c r="G9" s="1338"/>
      <c r="H9" s="1338"/>
      <c r="I9" s="1340"/>
      <c r="J9" s="1340"/>
      <c r="K9" s="1339"/>
      <c r="L9" s="823"/>
      <c r="M9" s="72"/>
      <c r="N9" s="72"/>
      <c r="O9" s="72"/>
      <c r="P9" s="1259"/>
      <c r="Q9" s="1259"/>
      <c r="R9" s="222"/>
      <c r="S9" s="74"/>
      <c r="T9" s="179"/>
      <c r="U9" s="179"/>
      <c r="V9" s="1055"/>
      <c r="W9" s="1055"/>
      <c r="X9" s="1055"/>
      <c r="Y9" s="1057" t="str">
        <f>Z8&amp;"-"&amp;AB8</f>
        <v>-</v>
      </c>
      <c r="Z9" s="1342"/>
      <c r="AA9" s="1133"/>
      <c r="AB9" s="1342"/>
      <c r="AC9" s="1133"/>
      <c r="AD9" s="1055"/>
      <c r="AE9" s="1055"/>
      <c r="AF9" s="1055"/>
      <c r="AG9" s="1057" t="str">
        <f>AH8&amp;"-"&amp;AJ8</f>
        <v>-</v>
      </c>
      <c r="AH9" s="1342"/>
      <c r="AI9" s="1133"/>
      <c r="AJ9" s="1342"/>
      <c r="AK9" s="1133"/>
      <c r="AL9" s="1055"/>
      <c r="AM9" s="1360"/>
      <c r="AO9" s="79"/>
      <c r="AP9" s="79" t="str">
        <f t="shared" si="0"/>
        <v/>
      </c>
      <c r="AQ9" s="79"/>
      <c r="AR9" s="79"/>
    </row>
    <row r="10" spans="1:44" ht="15" hidden="1" customHeight="1">
      <c r="A10" s="822"/>
      <c r="B10" s="822"/>
      <c r="C10" s="822"/>
      <c r="D10" s="822"/>
      <c r="E10" s="1338"/>
      <c r="F10" s="1338"/>
      <c r="G10" s="1338"/>
      <c r="H10" s="1338"/>
      <c r="I10" s="1340"/>
      <c r="J10" s="1339"/>
      <c r="K10" s="822"/>
      <c r="L10" s="823"/>
      <c r="M10" s="72"/>
      <c r="N10" s="72"/>
      <c r="P10" s="1259"/>
      <c r="Q10" s="1259"/>
      <c r="R10" s="221"/>
      <c r="S10" s="796"/>
      <c r="T10" s="174" t="s">
        <v>1476</v>
      </c>
      <c r="U10" s="228"/>
      <c r="V10" s="228"/>
      <c r="W10" s="228"/>
      <c r="X10" s="228"/>
      <c r="Y10" s="228"/>
      <c r="Z10" s="228"/>
      <c r="AA10" s="228"/>
      <c r="AB10" s="228"/>
      <c r="AC10" s="228"/>
      <c r="AD10" s="228"/>
      <c r="AE10" s="228"/>
      <c r="AF10" s="228"/>
      <c r="AG10" s="228"/>
      <c r="AH10" s="228"/>
      <c r="AI10" s="228"/>
      <c r="AJ10" s="228"/>
      <c r="AK10" s="228"/>
      <c r="AL10" s="204"/>
      <c r="AM10" s="1361"/>
      <c r="AO10" s="79"/>
      <c r="AP10" s="79" t="str">
        <f t="shared" si="0"/>
        <v>Добавить вид теплоносителя (параметры теплоносителя)</v>
      </c>
      <c r="AQ10" s="79"/>
      <c r="AR10" s="79"/>
    </row>
    <row r="11" spans="1:44" ht="15" hidden="1" customHeight="1">
      <c r="A11" s="822"/>
      <c r="B11" s="822"/>
      <c r="C11" s="822"/>
      <c r="D11" s="822"/>
      <c r="E11" s="1338"/>
      <c r="F11" s="1338"/>
      <c r="G11" s="1338"/>
      <c r="H11" s="1338"/>
      <c r="I11" s="1339"/>
      <c r="J11" s="822"/>
      <c r="K11" s="822"/>
      <c r="L11" s="823"/>
      <c r="M11" s="72"/>
      <c r="P11" s="1259"/>
      <c r="Q11" s="127"/>
      <c r="R11" s="221"/>
      <c r="S11" s="796"/>
      <c r="T11" s="226" t="s">
        <v>1477</v>
      </c>
      <c r="U11" s="228"/>
      <c r="V11" s="228"/>
      <c r="W11" s="228"/>
      <c r="X11" s="228"/>
      <c r="Y11" s="228"/>
      <c r="Z11" s="228"/>
      <c r="AA11" s="228"/>
      <c r="AB11" s="228"/>
      <c r="AC11" s="205"/>
      <c r="AD11" s="228"/>
      <c r="AE11" s="228"/>
      <c r="AF11" s="228"/>
      <c r="AG11" s="228"/>
      <c r="AH11" s="228"/>
      <c r="AI11" s="228"/>
      <c r="AJ11" s="228"/>
      <c r="AK11" s="205"/>
      <c r="AL11" s="228"/>
      <c r="AM11" s="182"/>
      <c r="AO11" s="79"/>
      <c r="AP11" s="79" t="str">
        <f t="shared" si="0"/>
        <v>Добавить группу потребителей</v>
      </c>
      <c r="AQ11" s="79"/>
      <c r="AR11" s="79"/>
    </row>
    <row r="12" spans="1:44" ht="14.25" hidden="1" customHeight="1">
      <c r="A12" s="822"/>
      <c r="B12" s="822"/>
      <c r="C12" s="822"/>
      <c r="D12" s="822"/>
      <c r="E12" s="1338"/>
      <c r="F12" s="1338"/>
      <c r="G12" s="1338"/>
      <c r="H12" s="1337"/>
      <c r="I12" s="822"/>
      <c r="J12" s="822"/>
      <c r="K12" s="822"/>
      <c r="L12" s="823"/>
      <c r="M12" s="452"/>
      <c r="N12" s="452"/>
      <c r="O12" s="72"/>
      <c r="P12" s="43"/>
      <c r="Q12" s="231"/>
      <c r="R12" s="220"/>
      <c r="S12" s="834"/>
      <c r="T12" s="835"/>
      <c r="U12" s="836"/>
      <c r="V12" s="836"/>
      <c r="W12" s="836"/>
      <c r="X12" s="836"/>
      <c r="Y12" s="836"/>
      <c r="Z12" s="836"/>
      <c r="AA12" s="836"/>
      <c r="AB12" s="836"/>
      <c r="AC12" s="836"/>
      <c r="AD12" s="836"/>
      <c r="AE12" s="836"/>
      <c r="AF12" s="836"/>
      <c r="AG12" s="836"/>
      <c r="AH12" s="836"/>
      <c r="AI12" s="836"/>
      <c r="AJ12" s="836"/>
      <c r="AK12" s="836"/>
      <c r="AL12" s="836"/>
      <c r="AM12" s="837"/>
      <c r="AO12" s="79"/>
      <c r="AP12" s="79" t="str">
        <f t="shared" si="0"/>
        <v/>
      </c>
      <c r="AQ12" s="79"/>
      <c r="AR12" s="79"/>
    </row>
    <row r="13" spans="1:44" s="77" customFormat="1" ht="0.75" hidden="1" customHeight="1">
      <c r="A13" s="150"/>
      <c r="B13" s="150"/>
      <c r="C13" s="150"/>
      <c r="D13" s="150"/>
      <c r="E13" s="1338"/>
      <c r="F13" s="1338"/>
      <c r="G13" s="1337"/>
      <c r="H13" s="150"/>
      <c r="I13" s="150"/>
      <c r="J13" s="150"/>
      <c r="K13" s="150"/>
      <c r="L13" s="373"/>
      <c r="M13" s="318"/>
      <c r="N13" s="318"/>
      <c r="P13" s="111"/>
      <c r="Q13" s="811"/>
      <c r="R13" s="111"/>
      <c r="S13" s="812"/>
      <c r="T13" s="813" t="s">
        <v>1437</v>
      </c>
      <c r="U13" s="814"/>
      <c r="V13" s="814"/>
      <c r="W13" s="814"/>
      <c r="X13" s="814"/>
      <c r="Y13" s="814"/>
      <c r="Z13" s="814"/>
      <c r="AA13" s="814"/>
      <c r="AB13" s="814"/>
      <c r="AC13" s="814"/>
      <c r="AD13" s="814"/>
      <c r="AE13" s="814"/>
      <c r="AF13" s="814"/>
      <c r="AG13" s="814"/>
      <c r="AH13" s="814"/>
      <c r="AI13" s="814"/>
      <c r="AJ13" s="814"/>
      <c r="AK13" s="814"/>
      <c r="AL13" s="814"/>
      <c r="AM13" s="814"/>
      <c r="AO13" s="79"/>
      <c r="AP13" s="79" t="str">
        <f t="shared" si="0"/>
        <v>Добавить источник для дифференциации</v>
      </c>
      <c r="AQ13" s="79"/>
      <c r="AR13" s="79"/>
    </row>
    <row r="14" spans="1:44" s="77" customFormat="1" ht="0.75" hidden="1" customHeight="1">
      <c r="A14" s="150"/>
      <c r="B14" s="150"/>
      <c r="C14" s="150"/>
      <c r="D14" s="150"/>
      <c r="E14" s="1338"/>
      <c r="F14" s="1337"/>
      <c r="G14" s="150"/>
      <c r="H14" s="150"/>
      <c r="I14" s="150"/>
      <c r="J14" s="150"/>
      <c r="K14" s="150"/>
      <c r="L14" s="373"/>
      <c r="M14" s="815"/>
      <c r="N14" s="815"/>
      <c r="P14" s="111"/>
      <c r="Q14" s="811"/>
      <c r="R14" s="111"/>
      <c r="S14" s="816"/>
      <c r="T14" s="817" t="s">
        <v>1438</v>
      </c>
      <c r="U14" s="338"/>
      <c r="V14" s="338"/>
      <c r="W14" s="338"/>
      <c r="X14" s="338"/>
      <c r="Y14" s="338"/>
      <c r="Z14" s="338"/>
      <c r="AA14" s="338"/>
      <c r="AB14" s="338"/>
      <c r="AC14" s="338"/>
      <c r="AD14" s="338"/>
      <c r="AE14" s="338"/>
      <c r="AF14" s="338"/>
      <c r="AG14" s="338"/>
      <c r="AH14" s="338"/>
      <c r="AI14" s="338"/>
      <c r="AJ14" s="338"/>
      <c r="AK14" s="338"/>
      <c r="AL14" s="338"/>
      <c r="AM14" s="338"/>
      <c r="AO14" s="79"/>
      <c r="AP14" s="79" t="str">
        <f t="shared" si="0"/>
        <v>Добавить централизованную систему для дифференциации</v>
      </c>
      <c r="AQ14" s="79"/>
      <c r="AR14" s="79"/>
    </row>
    <row r="15" spans="1:44" s="77" customFormat="1" ht="0.75" hidden="1" customHeight="1">
      <c r="A15" s="150"/>
      <c r="B15" s="150"/>
      <c r="C15" s="150"/>
      <c r="D15" s="150"/>
      <c r="E15" s="1337"/>
      <c r="F15" s="150"/>
      <c r="G15" s="150"/>
      <c r="H15" s="150"/>
      <c r="I15" s="150"/>
      <c r="J15" s="150"/>
      <c r="K15" s="150"/>
      <c r="L15" s="373"/>
      <c r="M15" s="815"/>
      <c r="N15" s="815"/>
      <c r="P15" s="111"/>
      <c r="Q15" s="811"/>
      <c r="R15" s="111"/>
      <c r="S15" s="816"/>
      <c r="T15" s="818" t="s">
        <v>1439</v>
      </c>
      <c r="U15" s="338"/>
      <c r="V15" s="338"/>
      <c r="W15" s="338"/>
      <c r="X15" s="338"/>
      <c r="Y15" s="338"/>
      <c r="Z15" s="338"/>
      <c r="AA15" s="338"/>
      <c r="AB15" s="338"/>
      <c r="AC15" s="338"/>
      <c r="AD15" s="338"/>
      <c r="AE15" s="338"/>
      <c r="AF15" s="338"/>
      <c r="AG15" s="338"/>
      <c r="AH15" s="338"/>
      <c r="AI15" s="338"/>
      <c r="AJ15" s="338"/>
      <c r="AK15" s="338"/>
      <c r="AL15" s="338"/>
      <c r="AM15" s="338"/>
      <c r="AO15" s="79"/>
      <c r="AP15" s="79" t="str">
        <f t="shared" si="0"/>
        <v>Добавить территорию для дифференциации</v>
      </c>
      <c r="AQ15" s="79"/>
      <c r="AR15" s="79"/>
    </row>
    <row r="16" spans="1:44" ht="14.25" hidden="1" customHeight="1"/>
    <row r="17" spans="1:44" ht="14.25" hidden="1" customHeight="1">
      <c r="AD17" s="1058"/>
      <c r="AE17" s="1058"/>
      <c r="AF17" s="1058"/>
      <c r="AG17" s="1059"/>
      <c r="AH17" s="1335"/>
      <c r="AI17" s="1334" t="s">
        <v>67</v>
      </c>
      <c r="AJ17" s="1335"/>
      <c r="AK17" s="1334" t="s">
        <v>67</v>
      </c>
    </row>
    <row r="18" spans="1:44" ht="14.25" hidden="1" customHeight="1">
      <c r="AD18" s="1058"/>
      <c r="AE18" s="1058"/>
      <c r="AF18" s="1058"/>
      <c r="AG18" s="1057" t="str">
        <f>AH17&amp;"-"&amp;AJ17</f>
        <v>-</v>
      </c>
      <c r="AH18" s="1334"/>
      <c r="AI18" s="1334"/>
      <c r="AJ18" s="1334"/>
      <c r="AK18" s="1334"/>
    </row>
    <row r="19" spans="1:44" ht="14.25" hidden="1" customHeight="1"/>
    <row r="20" spans="1:44" s="72" customFormat="1" ht="22.5" hidden="1" customHeight="1">
      <c r="L20" s="388"/>
      <c r="M20" s="541"/>
      <c r="N20" s="541"/>
      <c r="O20" s="824" t="s">
        <v>1479</v>
      </c>
      <c r="P20" s="541"/>
      <c r="Q20" s="825"/>
      <c r="R20" s="825"/>
      <c r="S20" s="452"/>
      <c r="Z20" s="824"/>
      <c r="AB20" s="824"/>
      <c r="AH20" s="824"/>
      <c r="AJ20" s="824"/>
      <c r="AN20" s="77"/>
      <c r="AO20" s="77"/>
      <c r="AP20" s="77"/>
      <c r="AQ20" s="77"/>
      <c r="AR20" s="77"/>
    </row>
    <row r="21" spans="1:44" s="72" customFormat="1" ht="14.25" hidden="1" customHeight="1">
      <c r="L21" s="388"/>
      <c r="M21" s="541"/>
      <c r="N21" s="541"/>
      <c r="O21" s="541"/>
      <c r="P21" s="541"/>
      <c r="Q21" s="825"/>
      <c r="R21" s="825"/>
      <c r="S21" s="452"/>
      <c r="AN21" s="77"/>
      <c r="AO21" s="77"/>
      <c r="AP21" s="77"/>
      <c r="AQ21" s="77"/>
      <c r="AR21" s="77"/>
    </row>
    <row r="22" spans="1:44" s="72" customFormat="1" ht="14.25" hidden="1" customHeight="1">
      <c r="L22" s="388"/>
      <c r="M22" s="541"/>
      <c r="N22" s="541"/>
      <c r="O22" s="823" t="s">
        <v>1480</v>
      </c>
      <c r="P22" s="541"/>
      <c r="Q22" s="825"/>
      <c r="R22" s="825"/>
      <c r="S22" s="452"/>
      <c r="T22" s="72" t="s">
        <v>1481</v>
      </c>
      <c r="AA22" s="91" t="s">
        <v>1482</v>
      </c>
      <c r="AC22" s="91" t="s">
        <v>1483</v>
      </c>
      <c r="AD22" s="72" t="s">
        <v>1481</v>
      </c>
      <c r="AI22" s="91" t="s">
        <v>1484</v>
      </c>
      <c r="AK22" s="91" t="s">
        <v>1483</v>
      </c>
      <c r="AN22" s="77"/>
      <c r="AO22" s="77"/>
      <c r="AP22" s="77"/>
      <c r="AQ22" s="77"/>
      <c r="AR22" s="77"/>
    </row>
    <row r="23" spans="1:44" ht="14.25" hidden="1" customHeight="1">
      <c r="O23" s="823"/>
    </row>
    <row r="24" spans="1:44" ht="14.25" hidden="1" customHeight="1">
      <c r="O24" s="823"/>
    </row>
    <row r="25" spans="1:44" ht="14.25" customHeight="1">
      <c r="Q25" s="36"/>
      <c r="R25" s="36"/>
      <c r="S25" s="793"/>
      <c r="T25" s="25"/>
      <c r="U25" s="25"/>
    </row>
    <row r="26" spans="1:44" ht="64.5" customHeight="1">
      <c r="Q26" s="36"/>
      <c r="R26" s="36"/>
      <c r="S26" s="1181" t="str">
        <f>IF(TEMPLATE_GROUP="P",PT_P_FORM_HEAT_5_NAME_FORM,PT_R_FORM_HEAT_22_NAME_FORM)</f>
        <v>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v>
      </c>
      <c r="T26" s="1181"/>
      <c r="U26" s="1181"/>
      <c r="V26" s="1181"/>
      <c r="W26" s="1181"/>
      <c r="X26" s="1181"/>
      <c r="Y26" s="1181"/>
      <c r="Z26" s="1181"/>
      <c r="AA26" s="1181"/>
      <c r="AB26" s="1181"/>
      <c r="AC26" s="1181"/>
      <c r="AD26" s="1181"/>
      <c r="AE26" s="1181"/>
      <c r="AF26" s="1181"/>
      <c r="AG26" s="1181"/>
      <c r="AH26" s="1181"/>
      <c r="AI26" s="1181"/>
      <c r="AJ26" s="1181"/>
      <c r="AK26" s="69"/>
    </row>
    <row r="27" spans="1:44" ht="14.25" customHeight="1">
      <c r="Q27" s="36"/>
      <c r="R27" s="36"/>
      <c r="S27" s="1204" t="str">
        <f>IF(org=0,"Не определено",org)</f>
        <v>ООО "ТЕПЛО ПЛЮС"</v>
      </c>
      <c r="T27" s="1204"/>
      <c r="U27" s="1204"/>
      <c r="V27" s="1204"/>
      <c r="W27" s="1204"/>
      <c r="X27" s="1204"/>
      <c r="Y27" s="1204"/>
      <c r="Z27" s="1204"/>
      <c r="AA27" s="1204"/>
      <c r="AB27" s="1204"/>
      <c r="AC27" s="1204"/>
      <c r="AD27" s="1204"/>
      <c r="AE27" s="1204"/>
      <c r="AF27" s="1204"/>
      <c r="AG27" s="1204"/>
      <c r="AH27" s="1204"/>
      <c r="AI27" s="1204"/>
      <c r="AJ27" s="1204"/>
      <c r="AK27" s="69"/>
    </row>
    <row r="28" spans="1:44" ht="14.25" hidden="1" customHeight="1">
      <c r="Q28" s="36"/>
      <c r="R28" s="36"/>
      <c r="S28" s="793"/>
      <c r="T28" s="25"/>
      <c r="U28" s="25"/>
      <c r="V28" s="202"/>
      <c r="W28" s="202"/>
      <c r="X28" s="202"/>
      <c r="Y28" s="202"/>
      <c r="Z28" s="202"/>
      <c r="AA28" s="202"/>
      <c r="AB28" s="202"/>
      <c r="AC28" s="202"/>
      <c r="AD28" s="202"/>
      <c r="AE28" s="202"/>
      <c r="AF28" s="202"/>
      <c r="AG28" s="202"/>
      <c r="AH28" s="202"/>
      <c r="AI28" s="202"/>
      <c r="AJ28" s="202"/>
      <c r="AK28" s="202"/>
    </row>
    <row r="29" spans="1:44" s="44" customFormat="1" ht="25.5" hidden="1" customHeight="1">
      <c r="A29" s="91"/>
      <c r="B29" s="91"/>
      <c r="C29" s="91"/>
      <c r="D29" s="91"/>
      <c r="E29" s="91"/>
      <c r="F29" s="91"/>
      <c r="G29" s="91"/>
      <c r="H29" s="91"/>
      <c r="I29" s="91"/>
      <c r="J29" s="91"/>
      <c r="K29" s="91"/>
      <c r="L29" s="823"/>
      <c r="M29" s="91"/>
      <c r="N29" s="91"/>
      <c r="O29" s="91"/>
      <c r="S29" s="1329" t="s">
        <v>39</v>
      </c>
      <c r="T29" s="1329"/>
      <c r="U29" s="826"/>
      <c r="V29" s="1330" t="str">
        <f>IF(TITLE_NAME_OR_PR_CHANGE="",IF(TITLE_NAME_OR_PR="","",TITLE_NAME_OR_PR),TITLE_NAME_OR_PR_CHANGE)</f>
        <v/>
      </c>
      <c r="W29" s="1330"/>
      <c r="X29" s="1330"/>
      <c r="Y29" s="1330"/>
      <c r="Z29" s="1330"/>
      <c r="AA29" s="1330"/>
      <c r="AB29" s="1330"/>
      <c r="AC29" s="24"/>
      <c r="AD29" s="1330" t="str">
        <f>IF(TITLE_NAME_OR_PR_CHANGE="",IF(TITLE_NAME_OR_PR="","",TITLE_NAME_OR_PR),TITLE_NAME_OR_PR_CHANGE)</f>
        <v/>
      </c>
      <c r="AE29" s="1330"/>
      <c r="AF29" s="1330"/>
      <c r="AG29" s="1330"/>
      <c r="AH29" s="1330"/>
      <c r="AI29" s="1330"/>
      <c r="AJ29" s="1330"/>
      <c r="AK29" s="24"/>
      <c r="AL29" s="24"/>
      <c r="AM29" s="171"/>
      <c r="AN29" s="79"/>
      <c r="AO29" s="79"/>
      <c r="AP29" s="79"/>
      <c r="AQ29" s="79"/>
      <c r="AR29" s="79"/>
    </row>
    <row r="30" spans="1:44" s="44" customFormat="1" ht="18.75" hidden="1" customHeight="1">
      <c r="A30" s="91"/>
      <c r="B30" s="91"/>
      <c r="C30" s="91"/>
      <c r="D30" s="91"/>
      <c r="E30" s="91"/>
      <c r="F30" s="91"/>
      <c r="G30" s="91"/>
      <c r="H30" s="91"/>
      <c r="I30" s="91"/>
      <c r="J30" s="91"/>
      <c r="K30" s="91"/>
      <c r="L30" s="823"/>
      <c r="M30" s="91"/>
      <c r="N30" s="91"/>
      <c r="O30" s="91"/>
      <c r="S30" s="1329" t="s">
        <v>1485</v>
      </c>
      <c r="T30" s="1329"/>
      <c r="U30" s="826"/>
      <c r="V30" s="1330" t="str">
        <f>IF(TITLE_DATE_CHANGE_PERIOD="",IF(TITLE_DATE_PR="","",TITLE_DATE_PR),TITLE_DATE_CHANGE_PERIOD)</f>
        <v/>
      </c>
      <c r="W30" s="1330"/>
      <c r="X30" s="1330"/>
      <c r="Y30" s="1330"/>
      <c r="Z30" s="1330"/>
      <c r="AA30" s="1330"/>
      <c r="AB30" s="1330"/>
      <c r="AC30" s="24"/>
      <c r="AD30" s="1330" t="str">
        <f>IF(TITLE_DATE_CHANGE_PERIOD="",IF(TITLE_DATE_PR="","",TITLE_DATE_PR),TITLE_DATE_CHANGE_PERIOD)</f>
        <v/>
      </c>
      <c r="AE30" s="1330"/>
      <c r="AF30" s="1330"/>
      <c r="AG30" s="1330"/>
      <c r="AH30" s="1330"/>
      <c r="AI30" s="1330"/>
      <c r="AJ30" s="1330"/>
      <c r="AK30" s="24"/>
      <c r="AL30" s="24"/>
      <c r="AM30" s="171"/>
      <c r="AN30" s="79"/>
      <c r="AO30" s="79"/>
      <c r="AP30" s="79"/>
      <c r="AQ30" s="79"/>
      <c r="AR30" s="79"/>
    </row>
    <row r="31" spans="1:44" s="44" customFormat="1" ht="18.75" hidden="1" customHeight="1">
      <c r="A31" s="91"/>
      <c r="B31" s="91"/>
      <c r="C31" s="91"/>
      <c r="D31" s="91"/>
      <c r="E31" s="91"/>
      <c r="F31" s="91"/>
      <c r="G31" s="91"/>
      <c r="H31" s="91"/>
      <c r="I31" s="91"/>
      <c r="J31" s="91"/>
      <c r="K31" s="91"/>
      <c r="L31" s="823"/>
      <c r="M31" s="91"/>
      <c r="N31" s="91"/>
      <c r="O31" s="91"/>
      <c r="S31" s="1329" t="s">
        <v>1486</v>
      </c>
      <c r="T31" s="1329"/>
      <c r="U31" s="826"/>
      <c r="V31" s="1330" t="str">
        <f>IF(TITLE_NUMBER_PR_CHANGE="",IF(TITLE_NUMBER_PR="","",TITLE_NUMBER_PR),TITLE_NUMBER_PR_CHANGE)</f>
        <v/>
      </c>
      <c r="W31" s="1330"/>
      <c r="X31" s="1330"/>
      <c r="Y31" s="1330"/>
      <c r="Z31" s="1330"/>
      <c r="AA31" s="1330"/>
      <c r="AB31" s="1330"/>
      <c r="AC31" s="24"/>
      <c r="AD31" s="1330" t="str">
        <f>IF(TITLE_NUMBER_PR_CHANGE="",IF(TITLE_NUMBER_PR="","",TITLE_NUMBER_PR),TITLE_NUMBER_PR_CHANGE)</f>
        <v/>
      </c>
      <c r="AE31" s="1330"/>
      <c r="AF31" s="1330"/>
      <c r="AG31" s="1330"/>
      <c r="AH31" s="1330"/>
      <c r="AI31" s="1330"/>
      <c r="AJ31" s="1330"/>
      <c r="AK31" s="24"/>
      <c r="AL31" s="24"/>
      <c r="AM31" s="171"/>
      <c r="AN31" s="79"/>
      <c r="AO31" s="79"/>
      <c r="AP31" s="79"/>
      <c r="AQ31" s="79"/>
      <c r="AR31" s="79"/>
    </row>
    <row r="32" spans="1:44" s="44" customFormat="1" ht="18.75" hidden="1" customHeight="1">
      <c r="A32" s="91"/>
      <c r="B32" s="91"/>
      <c r="C32" s="91"/>
      <c r="D32" s="91"/>
      <c r="E32" s="91"/>
      <c r="F32" s="91"/>
      <c r="G32" s="91"/>
      <c r="H32" s="91"/>
      <c r="I32" s="91"/>
      <c r="J32" s="91"/>
      <c r="K32" s="91"/>
      <c r="L32" s="823"/>
      <c r="M32" s="91"/>
      <c r="N32" s="91"/>
      <c r="O32" s="91"/>
      <c r="S32" s="1329" t="s">
        <v>40</v>
      </c>
      <c r="T32" s="1329"/>
      <c r="U32" s="826"/>
      <c r="V32" s="1330" t="str">
        <f>IF(TITLE_IST_PUB_CHANGE="",IF(TITLE_IST_PUB="","",TITLE_IST_PUB),TITLE_IST_PUB_CHANGE)</f>
        <v/>
      </c>
      <c r="W32" s="1330"/>
      <c r="X32" s="1330"/>
      <c r="Y32" s="1330"/>
      <c r="Z32" s="1330"/>
      <c r="AA32" s="1330"/>
      <c r="AB32" s="1330"/>
      <c r="AC32" s="24"/>
      <c r="AD32" s="1330" t="str">
        <f>IF(TITLE_IST_PUB_CHANGE="",IF(TITLE_IST_PUB="","",TITLE_IST_PUB),TITLE_IST_PUB_CHANGE)</f>
        <v/>
      </c>
      <c r="AE32" s="1330"/>
      <c r="AF32" s="1330"/>
      <c r="AG32" s="1330"/>
      <c r="AH32" s="1330"/>
      <c r="AI32" s="1330"/>
      <c r="AJ32" s="1330"/>
      <c r="AK32" s="24"/>
      <c r="AL32" s="24"/>
      <c r="AM32" s="171"/>
      <c r="AN32" s="79"/>
      <c r="AO32" s="79"/>
      <c r="AP32" s="79"/>
      <c r="AQ32" s="79"/>
      <c r="AR32" s="79"/>
    </row>
    <row r="33" spans="1:44" ht="14.25" hidden="1" customHeight="1">
      <c r="Q33" s="36"/>
      <c r="R33" s="36"/>
      <c r="S33" s="793"/>
      <c r="T33" s="25"/>
      <c r="U33" s="25"/>
      <c r="V33" s="202"/>
      <c r="W33" s="202"/>
      <c r="X33" s="202"/>
      <c r="Y33" s="202"/>
      <c r="Z33" s="202"/>
      <c r="AA33" s="202"/>
      <c r="AB33" s="202"/>
      <c r="AC33" s="202"/>
      <c r="AD33" s="202"/>
      <c r="AE33" s="202"/>
      <c r="AF33" s="202"/>
      <c r="AG33" s="202"/>
      <c r="AH33" s="202"/>
      <c r="AI33" s="202"/>
      <c r="AJ33" s="202"/>
      <c r="AK33" s="202"/>
    </row>
    <row r="34" spans="1:44" s="44" customFormat="1" ht="18.75" hidden="1" customHeight="1">
      <c r="A34" s="91"/>
      <c r="B34" s="91"/>
      <c r="C34" s="91"/>
      <c r="D34" s="91"/>
      <c r="E34" s="91"/>
      <c r="F34" s="91"/>
      <c r="G34" s="91"/>
      <c r="H34" s="91"/>
      <c r="I34" s="91"/>
      <c r="J34" s="91"/>
      <c r="K34" s="91"/>
      <c r="L34" s="823"/>
      <c r="M34" s="91"/>
      <c r="N34" s="91"/>
      <c r="O34" s="91"/>
      <c r="S34" s="1329" t="s">
        <v>1487</v>
      </c>
      <c r="T34" s="1329"/>
      <c r="U34" s="826"/>
      <c r="V34" s="1330" t="str">
        <f>IF(TITLE_DATE_CHANGE_PERIOD="",IF(TITLE_DATE_PR="","",TITLE_DATE_PR),TITLE_DATE_CHANGE_PERIOD)</f>
        <v/>
      </c>
      <c r="W34" s="1330"/>
      <c r="X34" s="1330"/>
      <c r="Y34" s="1330"/>
      <c r="Z34" s="1330"/>
      <c r="AA34" s="1330"/>
      <c r="AB34" s="1330"/>
      <c r="AC34" s="24"/>
      <c r="AD34" s="1330" t="str">
        <f>IF(TITLE_DATE_CHANGE_PERIOD="",IF(TITLE_DATE_PR="","",TITLE_DATE_PR),TITLE_DATE_CHANGE_PERIOD)</f>
        <v/>
      </c>
      <c r="AE34" s="1330"/>
      <c r="AF34" s="1330"/>
      <c r="AG34" s="1330"/>
      <c r="AH34" s="1330"/>
      <c r="AI34" s="1330"/>
      <c r="AJ34" s="1330"/>
      <c r="AK34" s="24"/>
      <c r="AL34" s="24"/>
      <c r="AM34" s="171"/>
      <c r="AN34" s="79"/>
      <c r="AO34" s="79"/>
      <c r="AP34" s="79"/>
      <c r="AQ34" s="79"/>
      <c r="AR34" s="79"/>
    </row>
    <row r="35" spans="1:44" s="44" customFormat="1" ht="18.75" hidden="1" customHeight="1">
      <c r="A35" s="91"/>
      <c r="B35" s="91"/>
      <c r="C35" s="91"/>
      <c r="D35" s="91"/>
      <c r="E35" s="91"/>
      <c r="F35" s="91"/>
      <c r="G35" s="91"/>
      <c r="H35" s="91"/>
      <c r="I35" s="91"/>
      <c r="J35" s="91"/>
      <c r="K35" s="91"/>
      <c r="L35" s="823"/>
      <c r="M35" s="91"/>
      <c r="N35" s="91"/>
      <c r="O35" s="91"/>
      <c r="S35" s="1329" t="s">
        <v>1488</v>
      </c>
      <c r="T35" s="1329"/>
      <c r="U35" s="826"/>
      <c r="V35" s="1330" t="str">
        <f>IF(TITLE_NUMBER_PR_CHANGE="",IF(TITLE_NUMBER_PR="","",TITLE_NUMBER_PR),TITLE_NUMBER_PR_CHANGE)</f>
        <v/>
      </c>
      <c r="W35" s="1330"/>
      <c r="X35" s="1330"/>
      <c r="Y35" s="1330"/>
      <c r="Z35" s="1330"/>
      <c r="AA35" s="1330"/>
      <c r="AB35" s="1330"/>
      <c r="AC35" s="24"/>
      <c r="AD35" s="1330" t="str">
        <f>IF(TITLE_NUMBER_PR_CHANGE="",IF(TITLE_NUMBER_PR="","",TITLE_NUMBER_PR),TITLE_NUMBER_PR_CHANGE)</f>
        <v/>
      </c>
      <c r="AE35" s="1330"/>
      <c r="AF35" s="1330"/>
      <c r="AG35" s="1330"/>
      <c r="AH35" s="1330"/>
      <c r="AI35" s="1330"/>
      <c r="AJ35" s="1330"/>
      <c r="AK35" s="24"/>
      <c r="AL35" s="24"/>
      <c r="AM35" s="171"/>
      <c r="AN35" s="79"/>
      <c r="AO35" s="79"/>
      <c r="AP35" s="79"/>
      <c r="AQ35" s="79"/>
      <c r="AR35" s="79"/>
    </row>
    <row r="36" spans="1:44" s="44" customFormat="1" ht="0" hidden="1" customHeight="1">
      <c r="A36" s="91"/>
      <c r="B36" s="91"/>
      <c r="C36" s="91"/>
      <c r="D36" s="91"/>
      <c r="E36" s="91"/>
      <c r="F36" s="91"/>
      <c r="G36" s="91"/>
      <c r="H36" s="91"/>
      <c r="I36" s="91"/>
      <c r="J36" s="91"/>
      <c r="K36" s="91"/>
      <c r="L36" s="823"/>
      <c r="M36" s="91"/>
      <c r="N36" s="91"/>
      <c r="O36" s="91"/>
      <c r="S36" s="24"/>
      <c r="T36" s="24"/>
      <c r="U36" s="87"/>
      <c r="V36" s="24"/>
      <c r="W36" s="24"/>
      <c r="X36" s="24"/>
      <c r="Y36" s="24"/>
      <c r="Z36" s="24"/>
      <c r="AA36" s="24"/>
      <c r="AB36" s="24"/>
      <c r="AC36" s="77" t="s">
        <v>1489</v>
      </c>
      <c r="AD36" s="24"/>
      <c r="AE36" s="24"/>
      <c r="AF36" s="24"/>
      <c r="AG36" s="24"/>
      <c r="AH36" s="24"/>
      <c r="AI36" s="24"/>
      <c r="AJ36" s="24"/>
      <c r="AK36" s="77" t="s">
        <v>1489</v>
      </c>
      <c r="AN36" s="79"/>
      <c r="AO36" s="79"/>
      <c r="AP36" s="79"/>
      <c r="AQ36" s="79"/>
      <c r="AR36" s="79"/>
    </row>
    <row r="37" spans="1:44" ht="14.25" customHeight="1">
      <c r="Q37" s="36"/>
      <c r="R37" s="36"/>
      <c r="S37" s="793"/>
      <c r="T37" s="25"/>
      <c r="U37" s="766"/>
      <c r="V37" s="1348"/>
      <c r="W37" s="1348"/>
      <c r="X37" s="1348"/>
      <c r="Y37" s="1348"/>
      <c r="Z37" s="1348"/>
      <c r="AA37" s="1348"/>
      <c r="AB37" s="1348"/>
      <c r="AC37" s="1348"/>
      <c r="AD37" s="1348"/>
      <c r="AE37" s="1348"/>
      <c r="AF37" s="1348"/>
      <c r="AG37" s="1348"/>
      <c r="AH37" s="1348"/>
      <c r="AI37" s="1348"/>
      <c r="AJ37" s="1348"/>
      <c r="AK37" s="1348"/>
    </row>
    <row r="38" spans="1:44" ht="14.25" customHeight="1">
      <c r="Q38" s="36"/>
      <c r="R38" s="36"/>
      <c r="S38" s="1123" t="s">
        <v>292</v>
      </c>
      <c r="T38" s="1123"/>
      <c r="U38" s="1123"/>
      <c r="V38" s="1123"/>
      <c r="W38" s="1123"/>
      <c r="X38" s="1123"/>
      <c r="Y38" s="1123"/>
      <c r="Z38" s="1123"/>
      <c r="AA38" s="1123"/>
      <c r="AB38" s="1123"/>
      <c r="AC38" s="1123"/>
      <c r="AD38" s="1123"/>
      <c r="AE38" s="1123"/>
      <c r="AF38" s="1123"/>
      <c r="AG38" s="1123"/>
      <c r="AH38" s="1123"/>
      <c r="AI38" s="1123"/>
      <c r="AJ38" s="1123"/>
      <c r="AK38" s="1123"/>
      <c r="AL38" s="1123"/>
      <c r="AM38" s="1123" t="s">
        <v>293</v>
      </c>
    </row>
    <row r="39" spans="1:44" ht="14.25" customHeight="1">
      <c r="Q39" s="36"/>
      <c r="R39" s="36"/>
      <c r="S39" s="1349" t="s">
        <v>88</v>
      </c>
      <c r="T39" s="1213" t="s">
        <v>1490</v>
      </c>
      <c r="U39" s="180"/>
      <c r="V39" s="1350" t="s">
        <v>1491</v>
      </c>
      <c r="W39" s="1351"/>
      <c r="X39" s="1351"/>
      <c r="Y39" s="1351"/>
      <c r="Z39" s="1351"/>
      <c r="AA39" s="1351"/>
      <c r="AB39" s="1352"/>
      <c r="AC39" s="1353" t="s">
        <v>1492</v>
      </c>
      <c r="AD39" s="1350" t="s">
        <v>1491</v>
      </c>
      <c r="AE39" s="1351"/>
      <c r="AF39" s="1351"/>
      <c r="AG39" s="1351"/>
      <c r="AH39" s="1351"/>
      <c r="AI39" s="1351"/>
      <c r="AJ39" s="1352"/>
      <c r="AK39" s="1353" t="s">
        <v>1493</v>
      </c>
      <c r="AL39" s="1356" t="s">
        <v>1494</v>
      </c>
      <c r="AM39" s="1123"/>
    </row>
    <row r="40" spans="1:44" ht="33.75" customHeight="1">
      <c r="Q40" s="36"/>
      <c r="R40" s="36"/>
      <c r="S40" s="1349"/>
      <c r="T40" s="1213"/>
      <c r="U40" s="647"/>
      <c r="V40" s="1182" t="s">
        <v>1495</v>
      </c>
      <c r="W40" s="1345"/>
      <c r="X40" s="1105" t="s">
        <v>1497</v>
      </c>
      <c r="Y40" s="1104"/>
      <c r="Z40" s="1105" t="s">
        <v>1498</v>
      </c>
      <c r="AA40" s="1110"/>
      <c r="AB40" s="1104"/>
      <c r="AC40" s="1354"/>
      <c r="AD40" s="1182" t="s">
        <v>1495</v>
      </c>
      <c r="AE40" s="1345"/>
      <c r="AF40" s="1105" t="s">
        <v>1497</v>
      </c>
      <c r="AG40" s="1104"/>
      <c r="AH40" s="1105" t="s">
        <v>1498</v>
      </c>
      <c r="AI40" s="1110"/>
      <c r="AJ40" s="1104"/>
      <c r="AK40" s="1354"/>
      <c r="AL40" s="1357"/>
      <c r="AM40" s="1123"/>
    </row>
    <row r="41" spans="1:44" ht="33.75" customHeight="1">
      <c r="A41" s="91"/>
      <c r="B41" s="91" t="s">
        <v>136</v>
      </c>
      <c r="C41" s="91" t="s">
        <v>137</v>
      </c>
      <c r="D41" s="91" t="s">
        <v>138</v>
      </c>
      <c r="E41" s="823" t="s">
        <v>1499</v>
      </c>
      <c r="F41" s="823" t="s">
        <v>1500</v>
      </c>
      <c r="G41" s="823" t="s">
        <v>1501</v>
      </c>
      <c r="H41" s="823" t="s">
        <v>1502</v>
      </c>
      <c r="I41" s="823" t="s">
        <v>1503</v>
      </c>
      <c r="J41" s="823" t="s">
        <v>1504</v>
      </c>
      <c r="K41" s="823" t="s">
        <v>1505</v>
      </c>
      <c r="L41" s="823" t="s">
        <v>1480</v>
      </c>
      <c r="Q41" s="36"/>
      <c r="R41" s="36"/>
      <c r="S41" s="1349"/>
      <c r="T41" s="1213"/>
      <c r="U41" s="181"/>
      <c r="V41" s="1238"/>
      <c r="W41" s="1346"/>
      <c r="X41" s="48" t="s">
        <v>1506</v>
      </c>
      <c r="Y41" s="48" t="s">
        <v>1507</v>
      </c>
      <c r="Z41" s="48" t="s">
        <v>1508</v>
      </c>
      <c r="AA41" s="1219" t="s">
        <v>1509</v>
      </c>
      <c r="AB41" s="1233"/>
      <c r="AC41" s="1355"/>
      <c r="AD41" s="1238"/>
      <c r="AE41" s="1346"/>
      <c r="AF41" s="48" t="s">
        <v>1506</v>
      </c>
      <c r="AG41" s="48" t="s">
        <v>1507</v>
      </c>
      <c r="AH41" s="48" t="s">
        <v>1508</v>
      </c>
      <c r="AI41" s="1219" t="s">
        <v>1509</v>
      </c>
      <c r="AJ41" s="1233"/>
      <c r="AK41" s="1355"/>
      <c r="AL41" s="1358"/>
      <c r="AM41" s="1123"/>
    </row>
    <row r="42" spans="1:44" s="216" customFormat="1" ht="11.25" hidden="1" customHeight="1">
      <c r="A42" s="91"/>
      <c r="B42" s="91"/>
      <c r="C42" s="91"/>
      <c r="D42" s="91"/>
      <c r="E42" s="91"/>
      <c r="F42" s="91"/>
      <c r="G42" s="91"/>
      <c r="H42" s="91"/>
      <c r="I42" s="91"/>
      <c r="J42" s="91"/>
      <c r="K42" s="91"/>
      <c r="L42" s="823"/>
      <c r="M42" s="541"/>
      <c r="N42" s="541"/>
      <c r="O42" s="541"/>
      <c r="P42" s="768"/>
      <c r="Q42" s="769"/>
      <c r="R42" s="777">
        <v>1</v>
      </c>
      <c r="S42" s="795" t="s">
        <v>109</v>
      </c>
      <c r="T42" s="778" t="s">
        <v>110</v>
      </c>
      <c r="U42" s="767" t="str">
        <f ca="1">OFFSET(U42,0,-1)</f>
        <v>2</v>
      </c>
      <c r="V42" s="779">
        <f ca="1">OFFSET(V42,0,-1)+1</f>
        <v>3</v>
      </c>
      <c r="W42" s="779"/>
      <c r="X42" s="779">
        <f ca="1">OFFSET(X42,0,-1)+1</f>
        <v>1</v>
      </c>
      <c r="Y42" s="779">
        <f ca="1">OFFSET(Y42,0,-1)+1</f>
        <v>2</v>
      </c>
      <c r="Z42" s="779">
        <f ca="1">OFFSET(Z42,0,-1)+1</f>
        <v>3</v>
      </c>
      <c r="AA42" s="1347">
        <f ca="1">OFFSET(AA42,0,-1)+1</f>
        <v>4</v>
      </c>
      <c r="AB42" s="1347"/>
      <c r="AC42" s="779">
        <f ca="1">OFFSET(AC42,0,-2)+1</f>
        <v>5</v>
      </c>
      <c r="AD42" s="779">
        <f ca="1">OFFSET(AD42,0,-1)+1</f>
        <v>6</v>
      </c>
      <c r="AE42" s="779"/>
      <c r="AF42" s="779">
        <f ca="1">OFFSET(AF42,0,-1)+1</f>
        <v>1</v>
      </c>
      <c r="AG42" s="779">
        <f ca="1">OFFSET(AG42,0,-1)+1</f>
        <v>2</v>
      </c>
      <c r="AH42" s="779">
        <f ca="1">OFFSET(AH42,0,-1)+1</f>
        <v>3</v>
      </c>
      <c r="AI42" s="1347">
        <f ca="1">OFFSET(AI42,0,-1)+1</f>
        <v>4</v>
      </c>
      <c r="AJ42" s="1347"/>
      <c r="AK42" s="779">
        <f ca="1">OFFSET(AK42,0,-2)+1</f>
        <v>5</v>
      </c>
      <c r="AL42" s="767">
        <f ca="1">OFFSET(AL42,0,-1)</f>
        <v>5</v>
      </c>
      <c r="AM42" s="779">
        <f ca="1">OFFSET(AM42,0,-1)+1</f>
        <v>6</v>
      </c>
      <c r="AN42" s="77"/>
      <c r="AO42" s="77"/>
      <c r="AP42" s="77"/>
      <c r="AQ42" s="77"/>
      <c r="AR42" s="77"/>
    </row>
    <row r="43" spans="1:44" ht="21" customHeight="1">
      <c r="A43" s="822" t="s">
        <v>171</v>
      </c>
      <c r="B43" s="822"/>
      <c r="C43" s="822"/>
      <c r="D43" s="822"/>
      <c r="E43" s="1337">
        <v>1</v>
      </c>
      <c r="F43" s="822"/>
      <c r="G43" s="822"/>
      <c r="H43" s="822"/>
      <c r="I43" s="822"/>
      <c r="J43" s="822"/>
      <c r="K43" s="822"/>
      <c r="L43" s="823"/>
      <c r="M43" s="452"/>
      <c r="N43" s="452"/>
      <c r="O43" s="452"/>
      <c r="Q43" s="43"/>
      <c r="R43" s="220"/>
      <c r="S43" s="755">
        <f>INDEX(PT_DIFFERENTIATION_NUM_NTAR,MATCH(A43,PT_DIFFERENTIATION_NTAR_ID,0))</f>
        <v>0</v>
      </c>
      <c r="T43" s="76" t="s">
        <v>124</v>
      </c>
      <c r="U43" s="179"/>
      <c r="V43" s="1331"/>
      <c r="W43" s="1332"/>
      <c r="X43" s="1332"/>
      <c r="Y43" s="1332"/>
      <c r="Z43" s="1332"/>
      <c r="AA43" s="1332"/>
      <c r="AB43" s="1332"/>
      <c r="AC43" s="1333"/>
      <c r="AD43" s="1331" t="str">
        <f>INDEX(PT_DIFFERENTIATION_NTAR,MATCH(A43,PT_DIFFERENTIATION_NTAR_ID,0))</f>
        <v/>
      </c>
      <c r="AE43" s="1332"/>
      <c r="AF43" s="1332"/>
      <c r="AG43" s="1332"/>
      <c r="AH43" s="1332"/>
      <c r="AI43" s="1332"/>
      <c r="AJ43" s="1332"/>
      <c r="AK43" s="1332"/>
      <c r="AL43" s="1333"/>
      <c r="AM43" s="782" t="s">
        <v>1461</v>
      </c>
      <c r="AO43" s="79"/>
      <c r="AP43" s="79" t="str">
        <f t="shared" ref="AP43:AP57" si="1">IF(T43="","",T43)</f>
        <v>Наименование тарифа</v>
      </c>
      <c r="AQ43" s="79"/>
      <c r="AR43" s="79"/>
    </row>
    <row r="44" spans="1:44" ht="21" customHeight="1">
      <c r="A44" s="822" t="s">
        <v>171</v>
      </c>
      <c r="B44" s="822" t="s">
        <v>172</v>
      </c>
      <c r="C44" s="822"/>
      <c r="D44" s="822"/>
      <c r="E44" s="1338"/>
      <c r="F44" s="1337">
        <v>1</v>
      </c>
      <c r="G44" s="822"/>
      <c r="H44" s="822"/>
      <c r="I44" s="822"/>
      <c r="J44" s="822"/>
      <c r="K44" s="822"/>
      <c r="L44" s="823"/>
      <c r="M44" s="452"/>
      <c r="N44" s="452"/>
      <c r="O44" s="452"/>
      <c r="P44" s="68"/>
      <c r="Q44" s="217"/>
      <c r="R44" s="218"/>
      <c r="S44" s="755" t="str">
        <f>INDEX(PT_DIFFERENTIATION_NUM_TER,MATCH(B44,PT_DIFFERENTIATION_TER_ID,0))</f>
        <v>.</v>
      </c>
      <c r="T44" s="187" t="s">
        <v>1462</v>
      </c>
      <c r="U44" s="179"/>
      <c r="V44" s="1331"/>
      <c r="W44" s="1332"/>
      <c r="X44" s="1332"/>
      <c r="Y44" s="1332"/>
      <c r="Z44" s="1332"/>
      <c r="AA44" s="1332"/>
      <c r="AB44" s="1332"/>
      <c r="AC44" s="1333"/>
      <c r="AD44" s="1331" t="str">
        <f>INDEX(PT_DIFFERENTIATION_TER,MATCH(B44,PT_DIFFERENTIATION_TER_ID,0))</f>
        <v/>
      </c>
      <c r="AE44" s="1332"/>
      <c r="AF44" s="1332"/>
      <c r="AG44" s="1332"/>
      <c r="AH44" s="1332"/>
      <c r="AI44" s="1332"/>
      <c r="AJ44" s="1332"/>
      <c r="AK44" s="1332"/>
      <c r="AL44" s="1333"/>
      <c r="AM44" s="782" t="s">
        <v>1463</v>
      </c>
      <c r="AO44" s="79"/>
      <c r="AP44" s="79" t="str">
        <f t="shared" si="1"/>
        <v>Территория действия тарифа</v>
      </c>
      <c r="AQ44" s="79"/>
      <c r="AR44" s="79"/>
    </row>
    <row r="45" spans="1:44" ht="23.25" customHeight="1">
      <c r="A45" s="822" t="s">
        <v>171</v>
      </c>
      <c r="B45" s="822" t="s">
        <v>172</v>
      </c>
      <c r="C45" s="822" t="s">
        <v>173</v>
      </c>
      <c r="D45" s="822"/>
      <c r="E45" s="1338"/>
      <c r="F45" s="1338"/>
      <c r="G45" s="1337">
        <v>1</v>
      </c>
      <c r="H45" s="822"/>
      <c r="I45" s="822"/>
      <c r="J45" s="822"/>
      <c r="K45" s="822"/>
      <c r="L45" s="823"/>
      <c r="M45" s="452"/>
      <c r="N45" s="452"/>
      <c r="O45" s="452"/>
      <c r="P45" s="219"/>
      <c r="Q45" s="217"/>
      <c r="R45" s="218"/>
      <c r="S45" s="755" t="str">
        <f>INDEX(PT_DIFFERENTIATION_NUM_CS,MATCH(C45,PT_DIFFERENTIATION_CS_ID,0))</f>
        <v>..</v>
      </c>
      <c r="T45" s="188" t="s">
        <v>1464</v>
      </c>
      <c r="U45" s="179"/>
      <c r="V45" s="1331"/>
      <c r="W45" s="1332"/>
      <c r="X45" s="1332"/>
      <c r="Y45" s="1332"/>
      <c r="Z45" s="1332"/>
      <c r="AA45" s="1332"/>
      <c r="AB45" s="1332"/>
      <c r="AC45" s="1333"/>
      <c r="AD45" s="1331" t="str">
        <f>INDEX(PT_DIFFERENTIATION_CS,MATCH(C45,PT_DIFFERENTIATION_CS_ID,0))</f>
        <v/>
      </c>
      <c r="AE45" s="1332"/>
      <c r="AF45" s="1332"/>
      <c r="AG45" s="1332"/>
      <c r="AH45" s="1332"/>
      <c r="AI45" s="1332"/>
      <c r="AJ45" s="1332"/>
      <c r="AK45" s="1332"/>
      <c r="AL45" s="1333"/>
      <c r="AM45" s="782" t="s">
        <v>1465</v>
      </c>
      <c r="AO45" s="79"/>
      <c r="AP45" s="79" t="str">
        <f t="shared" si="1"/>
        <v xml:space="preserve">Наименование системы теплоснабжения </v>
      </c>
      <c r="AQ45" s="79"/>
      <c r="AR45" s="79"/>
    </row>
    <row r="46" spans="1:44" ht="21" customHeight="1">
      <c r="A46" s="822" t="s">
        <v>171</v>
      </c>
      <c r="B46" s="822" t="s">
        <v>172</v>
      </c>
      <c r="C46" s="822" t="s">
        <v>173</v>
      </c>
      <c r="D46" s="822" t="s">
        <v>174</v>
      </c>
      <c r="E46" s="1338"/>
      <c r="F46" s="1338"/>
      <c r="G46" s="1338"/>
      <c r="H46" s="1337">
        <v>1</v>
      </c>
      <c r="I46" s="822"/>
      <c r="J46" s="822"/>
      <c r="K46" s="822"/>
      <c r="L46" s="823"/>
      <c r="M46" s="452"/>
      <c r="N46" s="452"/>
      <c r="O46" s="452"/>
      <c r="P46" s="219"/>
      <c r="Q46" s="217"/>
      <c r="R46" s="218"/>
      <c r="S46" s="755" t="str">
        <f>INDEX(PT_DIFFERENTIATION_NUM_IST_TE,MATCH(D46,PT_DIFFERENTIATION_IST_TE_ID,0))</f>
        <v>...</v>
      </c>
      <c r="T46" s="189" t="s">
        <v>1466</v>
      </c>
      <c r="U46" s="179"/>
      <c r="V46" s="1331"/>
      <c r="W46" s="1332"/>
      <c r="X46" s="1332"/>
      <c r="Y46" s="1332"/>
      <c r="Z46" s="1332"/>
      <c r="AA46" s="1332"/>
      <c r="AB46" s="1332"/>
      <c r="AC46" s="1333"/>
      <c r="AD46" s="1331" t="str">
        <f>INDEX(PT_DIFFERENTIATION_IST_TE,MATCH(D46,PT_DIFFERENTIATION_IST_TE_ID,0))</f>
        <v/>
      </c>
      <c r="AE46" s="1332"/>
      <c r="AF46" s="1332"/>
      <c r="AG46" s="1332"/>
      <c r="AH46" s="1332"/>
      <c r="AI46" s="1332"/>
      <c r="AJ46" s="1332"/>
      <c r="AK46" s="1332"/>
      <c r="AL46" s="1333"/>
      <c r="AM46" s="782" t="s">
        <v>1467</v>
      </c>
      <c r="AO46" s="79"/>
      <c r="AP46" s="79" t="str">
        <f t="shared" si="1"/>
        <v xml:space="preserve">Источник тепловой энергии  </v>
      </c>
      <c r="AQ46" s="79"/>
      <c r="AR46" s="79"/>
    </row>
    <row r="47" spans="1:44" s="77" customFormat="1" ht="0" hidden="1" customHeight="1">
      <c r="A47" s="150" t="s">
        <v>171</v>
      </c>
      <c r="B47" s="150" t="s">
        <v>172</v>
      </c>
      <c r="C47" s="150" t="s">
        <v>173</v>
      </c>
      <c r="D47" s="150" t="s">
        <v>174</v>
      </c>
      <c r="E47" s="1338"/>
      <c r="F47" s="1338"/>
      <c r="G47" s="1338"/>
      <c r="H47" s="1338"/>
      <c r="I47" s="1339" t="str">
        <f>S46&amp;".1"</f>
        <v>....1</v>
      </c>
      <c r="J47" s="150"/>
      <c r="K47" s="150"/>
      <c r="L47" s="373" t="s">
        <v>1468</v>
      </c>
      <c r="M47" s="235"/>
      <c r="N47" s="235"/>
      <c r="O47" s="235"/>
      <c r="P47" s="1259">
        <v>1</v>
      </c>
      <c r="Q47" s="127"/>
      <c r="R47" s="221"/>
      <c r="S47" s="389"/>
      <c r="T47" s="831"/>
      <c r="U47" s="832"/>
      <c r="V47" s="1365"/>
      <c r="W47" s="1366"/>
      <c r="X47" s="1366"/>
      <c r="Y47" s="1366"/>
      <c r="Z47" s="1366"/>
      <c r="AA47" s="1366"/>
      <c r="AB47" s="1366"/>
      <c r="AC47" s="1367"/>
      <c r="AD47" s="1365"/>
      <c r="AE47" s="1366"/>
      <c r="AF47" s="1366"/>
      <c r="AG47" s="1366"/>
      <c r="AH47" s="1366"/>
      <c r="AI47" s="1366"/>
      <c r="AJ47" s="1366"/>
      <c r="AK47" s="1366"/>
      <c r="AL47" s="1367"/>
      <c r="AM47" s="833"/>
      <c r="AO47" s="79"/>
      <c r="AP47" s="79" t="str">
        <f t="shared" si="1"/>
        <v/>
      </c>
      <c r="AQ47" s="79"/>
      <c r="AR47" s="79"/>
    </row>
    <row r="48" spans="1:44" ht="21" customHeight="1">
      <c r="A48" s="822" t="s">
        <v>171</v>
      </c>
      <c r="B48" s="822" t="s">
        <v>172</v>
      </c>
      <c r="C48" s="822" t="s">
        <v>173</v>
      </c>
      <c r="D48" s="822" t="s">
        <v>174</v>
      </c>
      <c r="E48" s="1338"/>
      <c r="F48" s="1338"/>
      <c r="G48" s="1338"/>
      <c r="H48" s="1338"/>
      <c r="I48" s="1340"/>
      <c r="J48" s="1339" t="str">
        <f>S46&amp;".1"</f>
        <v>....1</v>
      </c>
      <c r="K48" s="822"/>
      <c r="L48" s="823" t="s">
        <v>1471</v>
      </c>
      <c r="P48" s="1259"/>
      <c r="Q48" s="1259">
        <v>1</v>
      </c>
      <c r="R48" s="222"/>
      <c r="S48" s="755" t="str">
        <f>$J48</f>
        <v>....1</v>
      </c>
      <c r="T48" s="173" t="s">
        <v>1472</v>
      </c>
      <c r="U48" s="179"/>
      <c r="V48" s="1326"/>
      <c r="W48" s="1327"/>
      <c r="X48" s="1327"/>
      <c r="Y48" s="1327"/>
      <c r="Z48" s="1327"/>
      <c r="AA48" s="1327"/>
      <c r="AB48" s="1327"/>
      <c r="AC48" s="1328"/>
      <c r="AD48" s="1326"/>
      <c r="AE48" s="1327"/>
      <c r="AF48" s="1327"/>
      <c r="AG48" s="1327"/>
      <c r="AH48" s="1327"/>
      <c r="AI48" s="1327"/>
      <c r="AJ48" s="1327"/>
      <c r="AK48" s="1327"/>
      <c r="AL48" s="1328"/>
      <c r="AM48" s="782" t="s">
        <v>1473</v>
      </c>
      <c r="AO48" s="79"/>
      <c r="AP48" s="79" t="str">
        <f t="shared" si="1"/>
        <v>Группа потребителей</v>
      </c>
      <c r="AQ48" s="79"/>
      <c r="AR48" s="79"/>
    </row>
    <row r="49" spans="1:44" ht="21" customHeight="1">
      <c r="A49" s="822" t="s">
        <v>171</v>
      </c>
      <c r="B49" s="822" t="s">
        <v>172</v>
      </c>
      <c r="C49" s="822" t="s">
        <v>173</v>
      </c>
      <c r="D49" s="822" t="s">
        <v>174</v>
      </c>
      <c r="E49" s="1338"/>
      <c r="F49" s="1338"/>
      <c r="G49" s="1338"/>
      <c r="H49" s="1338"/>
      <c r="I49" s="1340"/>
      <c r="J49" s="1340"/>
      <c r="K49" s="1339" t="str">
        <f>J48&amp;".1"</f>
        <v>....1.1</v>
      </c>
      <c r="L49" s="823" t="s">
        <v>1474</v>
      </c>
      <c r="P49" s="1259"/>
      <c r="Q49" s="1259"/>
      <c r="R49" s="222">
        <v>1</v>
      </c>
      <c r="S49" s="755" t="str">
        <f>$K49</f>
        <v>....1.1</v>
      </c>
      <c r="T49" s="821"/>
      <c r="U49" s="179"/>
      <c r="V49" s="1054"/>
      <c r="W49" s="1055"/>
      <c r="X49" s="1054"/>
      <c r="Y49" s="1056"/>
      <c r="Z49" s="1341"/>
      <c r="AA49" s="1133" t="s">
        <v>67</v>
      </c>
      <c r="AB49" s="1341"/>
      <c r="AC49" s="1133" t="s">
        <v>67</v>
      </c>
      <c r="AD49" s="1054"/>
      <c r="AE49" s="1055"/>
      <c r="AF49" s="1054"/>
      <c r="AG49" s="1056"/>
      <c r="AH49" s="1341"/>
      <c r="AI49" s="1133" t="s">
        <v>67</v>
      </c>
      <c r="AJ49" s="1343"/>
      <c r="AK49" s="1133" t="s">
        <v>67</v>
      </c>
      <c r="AL49" s="1060"/>
      <c r="AM49" s="1359" t="s">
        <v>1518</v>
      </c>
      <c r="AN49" s="77" t="e">
        <f ca="1">STRCHECKDATE(V50:AL50)</f>
        <v>#NAME?</v>
      </c>
      <c r="AO49" s="79"/>
      <c r="AP49" s="79" t="str">
        <f t="shared" si="1"/>
        <v/>
      </c>
      <c r="AQ49" s="79"/>
      <c r="AR49" s="79"/>
    </row>
    <row r="50" spans="1:44" ht="0.75" customHeight="1">
      <c r="A50" s="822" t="s">
        <v>171</v>
      </c>
      <c r="B50" s="822" t="s">
        <v>172</v>
      </c>
      <c r="C50" s="822" t="s">
        <v>173</v>
      </c>
      <c r="D50" s="822" t="s">
        <v>174</v>
      </c>
      <c r="E50" s="1338"/>
      <c r="F50" s="1338"/>
      <c r="G50" s="1338"/>
      <c r="H50" s="1338"/>
      <c r="I50" s="1340"/>
      <c r="J50" s="1340"/>
      <c r="K50" s="1339"/>
      <c r="L50" s="823"/>
      <c r="P50" s="1259"/>
      <c r="Q50" s="1259"/>
      <c r="R50" s="222"/>
      <c r="S50" s="74"/>
      <c r="T50" s="179"/>
      <c r="U50" s="179"/>
      <c r="V50" s="1055"/>
      <c r="W50" s="1055"/>
      <c r="X50" s="1055"/>
      <c r="Y50" s="1057" t="str">
        <f>Z49&amp;"-"&amp;AB49</f>
        <v>-</v>
      </c>
      <c r="Z50" s="1342"/>
      <c r="AA50" s="1133"/>
      <c r="AB50" s="1342"/>
      <c r="AC50" s="1133"/>
      <c r="AD50" s="1055"/>
      <c r="AE50" s="1055"/>
      <c r="AF50" s="1055"/>
      <c r="AG50" s="1057" t="str">
        <f>AH49&amp;"-"&amp;AJ49</f>
        <v>-</v>
      </c>
      <c r="AH50" s="1342"/>
      <c r="AI50" s="1133"/>
      <c r="AJ50" s="1344"/>
      <c r="AK50" s="1133"/>
      <c r="AL50" s="1061"/>
      <c r="AM50" s="1360"/>
      <c r="AO50" s="79"/>
      <c r="AP50" s="79" t="str">
        <f t="shared" si="1"/>
        <v/>
      </c>
      <c r="AQ50" s="79"/>
      <c r="AR50" s="79"/>
    </row>
    <row r="51" spans="1:44" ht="11.25" customHeight="1">
      <c r="A51" s="822" t="s">
        <v>171</v>
      </c>
      <c r="B51" s="822" t="s">
        <v>172</v>
      </c>
      <c r="C51" s="822" t="s">
        <v>173</v>
      </c>
      <c r="D51" s="822" t="s">
        <v>174</v>
      </c>
      <c r="E51" s="1338"/>
      <c r="F51" s="1338"/>
      <c r="G51" s="1338"/>
      <c r="H51" s="1338"/>
      <c r="I51" s="1340"/>
      <c r="J51" s="1339"/>
      <c r="K51" s="822"/>
      <c r="L51" s="823"/>
      <c r="P51" s="1259"/>
      <c r="Q51" s="1259"/>
      <c r="R51" s="221"/>
      <c r="S51" s="796"/>
      <c r="T51" s="174" t="s">
        <v>1476</v>
      </c>
      <c r="U51" s="228"/>
      <c r="V51" s="228"/>
      <c r="W51" s="228"/>
      <c r="X51" s="228"/>
      <c r="Y51" s="228"/>
      <c r="Z51" s="228"/>
      <c r="AA51" s="228"/>
      <c r="AB51" s="228"/>
      <c r="AC51" s="228"/>
      <c r="AD51" s="228"/>
      <c r="AE51" s="228"/>
      <c r="AF51" s="228"/>
      <c r="AG51" s="228"/>
      <c r="AH51" s="228"/>
      <c r="AI51" s="228"/>
      <c r="AJ51" s="228"/>
      <c r="AK51" s="228"/>
      <c r="AL51" s="204"/>
      <c r="AM51" s="1361"/>
      <c r="AO51" s="79"/>
      <c r="AP51" s="79" t="str">
        <f t="shared" si="1"/>
        <v>Добавить вид теплоносителя (параметры теплоносителя)</v>
      </c>
      <c r="AQ51" s="79"/>
      <c r="AR51" s="79"/>
    </row>
    <row r="52" spans="1:44" ht="11.25" customHeight="1">
      <c r="A52" s="822" t="s">
        <v>171</v>
      </c>
      <c r="B52" s="822" t="s">
        <v>172</v>
      </c>
      <c r="C52" s="822" t="s">
        <v>173</v>
      </c>
      <c r="D52" s="822" t="s">
        <v>174</v>
      </c>
      <c r="E52" s="1338"/>
      <c r="F52" s="1338"/>
      <c r="G52" s="1338"/>
      <c r="H52" s="1338"/>
      <c r="I52" s="1339"/>
      <c r="J52" s="822"/>
      <c r="K52" s="822"/>
      <c r="L52" s="823"/>
      <c r="P52" s="1259"/>
      <c r="Q52" s="127"/>
      <c r="R52" s="221"/>
      <c r="S52" s="796"/>
      <c r="T52" s="226" t="s">
        <v>1477</v>
      </c>
      <c r="U52" s="228"/>
      <c r="V52" s="228"/>
      <c r="W52" s="228"/>
      <c r="X52" s="228"/>
      <c r="Y52" s="228"/>
      <c r="Z52" s="228"/>
      <c r="AA52" s="228"/>
      <c r="AB52" s="228"/>
      <c r="AC52" s="205"/>
      <c r="AD52" s="228"/>
      <c r="AE52" s="228"/>
      <c r="AF52" s="228"/>
      <c r="AG52" s="228"/>
      <c r="AH52" s="228"/>
      <c r="AI52" s="228"/>
      <c r="AJ52" s="228"/>
      <c r="AK52" s="205"/>
      <c r="AL52" s="228"/>
      <c r="AM52" s="182"/>
      <c r="AO52" s="79"/>
      <c r="AP52" s="79" t="str">
        <f t="shared" si="1"/>
        <v>Добавить группу потребителей</v>
      </c>
      <c r="AQ52" s="79"/>
      <c r="AR52" s="79"/>
    </row>
    <row r="53" spans="1:44" ht="0" hidden="1" customHeight="1">
      <c r="A53" s="822" t="s">
        <v>171</v>
      </c>
      <c r="B53" s="822" t="s">
        <v>172</v>
      </c>
      <c r="C53" s="822" t="s">
        <v>173</v>
      </c>
      <c r="D53" s="822" t="s">
        <v>174</v>
      </c>
      <c r="E53" s="1338"/>
      <c r="F53" s="1338"/>
      <c r="G53" s="1338"/>
      <c r="H53" s="1337"/>
      <c r="I53" s="822"/>
      <c r="J53" s="822"/>
      <c r="K53" s="822"/>
      <c r="L53" s="823"/>
      <c r="M53" s="452"/>
      <c r="N53" s="452"/>
      <c r="O53" s="72"/>
      <c r="P53" s="43"/>
      <c r="Q53" s="231"/>
      <c r="R53" s="220"/>
      <c r="S53" s="834"/>
      <c r="T53" s="835"/>
      <c r="U53" s="836"/>
      <c r="V53" s="836"/>
      <c r="W53" s="836"/>
      <c r="X53" s="836"/>
      <c r="Y53" s="836"/>
      <c r="Z53" s="836"/>
      <c r="AA53" s="836"/>
      <c r="AB53" s="836"/>
      <c r="AC53" s="836"/>
      <c r="AD53" s="836"/>
      <c r="AE53" s="836"/>
      <c r="AF53" s="836"/>
      <c r="AG53" s="836"/>
      <c r="AH53" s="836"/>
      <c r="AI53" s="836"/>
      <c r="AJ53" s="836"/>
      <c r="AK53" s="836"/>
      <c r="AL53" s="836"/>
      <c r="AM53" s="837"/>
      <c r="AO53" s="79"/>
      <c r="AP53" s="79" t="str">
        <f t="shared" si="1"/>
        <v/>
      </c>
      <c r="AQ53" s="79"/>
      <c r="AR53" s="79"/>
    </row>
    <row r="54" spans="1:44" s="77" customFormat="1" ht="0.75" customHeight="1">
      <c r="A54" s="150" t="s">
        <v>171</v>
      </c>
      <c r="B54" s="150" t="s">
        <v>172</v>
      </c>
      <c r="C54" s="150" t="s">
        <v>173</v>
      </c>
      <c r="D54" s="150"/>
      <c r="E54" s="1338"/>
      <c r="F54" s="1338"/>
      <c r="G54" s="1337"/>
      <c r="H54" s="150"/>
      <c r="I54" s="150"/>
      <c r="J54" s="150"/>
      <c r="K54" s="150"/>
      <c r="L54" s="373"/>
      <c r="M54" s="318"/>
      <c r="N54" s="318"/>
      <c r="P54" s="111"/>
      <c r="Q54" s="811"/>
      <c r="R54" s="111"/>
      <c r="S54" s="816"/>
      <c r="T54" s="818" t="s">
        <v>1437</v>
      </c>
      <c r="U54" s="338"/>
      <c r="V54" s="338"/>
      <c r="W54" s="338"/>
      <c r="X54" s="338"/>
      <c r="Y54" s="338"/>
      <c r="Z54" s="338"/>
      <c r="AA54" s="338"/>
      <c r="AB54" s="338"/>
      <c r="AC54" s="338"/>
      <c r="AD54" s="338"/>
      <c r="AE54" s="338"/>
      <c r="AF54" s="338"/>
      <c r="AG54" s="338"/>
      <c r="AH54" s="338"/>
      <c r="AI54" s="338"/>
      <c r="AJ54" s="338"/>
      <c r="AK54" s="338"/>
      <c r="AL54" s="338"/>
      <c r="AM54" s="338"/>
      <c r="AO54" s="79"/>
      <c r="AP54" s="79" t="str">
        <f t="shared" si="1"/>
        <v>Добавить источник для дифференциации</v>
      </c>
      <c r="AQ54" s="79"/>
      <c r="AR54" s="79"/>
    </row>
    <row r="55" spans="1:44" s="77" customFormat="1" ht="0.75" customHeight="1">
      <c r="A55" s="150" t="s">
        <v>171</v>
      </c>
      <c r="B55" s="150" t="s">
        <v>172</v>
      </c>
      <c r="C55" s="150"/>
      <c r="D55" s="150"/>
      <c r="E55" s="1338"/>
      <c r="F55" s="1337"/>
      <c r="G55" s="150"/>
      <c r="H55" s="150"/>
      <c r="I55" s="150"/>
      <c r="J55" s="150"/>
      <c r="K55" s="150"/>
      <c r="L55" s="373"/>
      <c r="M55" s="815"/>
      <c r="N55" s="815"/>
      <c r="P55" s="111"/>
      <c r="Q55" s="811"/>
      <c r="R55" s="111"/>
      <c r="S55" s="816"/>
      <c r="T55" s="818" t="s">
        <v>1438</v>
      </c>
      <c r="U55" s="338"/>
      <c r="V55" s="338"/>
      <c r="W55" s="338"/>
      <c r="X55" s="338"/>
      <c r="Y55" s="338"/>
      <c r="Z55" s="338"/>
      <c r="AA55" s="338"/>
      <c r="AB55" s="338"/>
      <c r="AC55" s="338"/>
      <c r="AD55" s="338"/>
      <c r="AE55" s="338"/>
      <c r="AF55" s="338"/>
      <c r="AG55" s="338"/>
      <c r="AH55" s="338"/>
      <c r="AI55" s="338"/>
      <c r="AJ55" s="338"/>
      <c r="AK55" s="338"/>
      <c r="AL55" s="338"/>
      <c r="AM55" s="338"/>
      <c r="AO55" s="79"/>
      <c r="AP55" s="79" t="str">
        <f t="shared" si="1"/>
        <v>Добавить централизованную систему для дифференциации</v>
      </c>
      <c r="AQ55" s="79"/>
      <c r="AR55" s="79"/>
    </row>
    <row r="56" spans="1:44" s="77" customFormat="1" ht="0.75" customHeight="1">
      <c r="A56" s="150" t="s">
        <v>171</v>
      </c>
      <c r="B56" s="150"/>
      <c r="C56" s="150"/>
      <c r="D56" s="150"/>
      <c r="E56" s="1337"/>
      <c r="F56" s="150"/>
      <c r="G56" s="150"/>
      <c r="H56" s="150"/>
      <c r="I56" s="150"/>
      <c r="J56" s="150"/>
      <c r="K56" s="150"/>
      <c r="L56" s="373"/>
      <c r="M56" s="815"/>
      <c r="N56" s="815"/>
      <c r="P56" s="111"/>
      <c r="Q56" s="811"/>
      <c r="R56" s="111"/>
      <c r="S56" s="816"/>
      <c r="T56" s="818" t="s">
        <v>1439</v>
      </c>
      <c r="U56" s="338"/>
      <c r="V56" s="338"/>
      <c r="W56" s="338"/>
      <c r="X56" s="338"/>
      <c r="Y56" s="338"/>
      <c r="Z56" s="338"/>
      <c r="AA56" s="338"/>
      <c r="AB56" s="338"/>
      <c r="AC56" s="338"/>
      <c r="AD56" s="338"/>
      <c r="AE56" s="338"/>
      <c r="AF56" s="338"/>
      <c r="AG56" s="338"/>
      <c r="AH56" s="338"/>
      <c r="AI56" s="338"/>
      <c r="AJ56" s="338"/>
      <c r="AK56" s="338"/>
      <c r="AL56" s="338"/>
      <c r="AM56" s="338"/>
      <c r="AO56" s="79"/>
      <c r="AP56" s="79" t="str">
        <f t="shared" si="1"/>
        <v>Добавить территорию для дифференциации</v>
      </c>
      <c r="AQ56" s="79"/>
      <c r="AR56" s="79"/>
    </row>
    <row r="57" spans="1:44" s="77" customFormat="1" ht="0.75" customHeight="1">
      <c r="A57" s="150"/>
      <c r="B57" s="150"/>
      <c r="C57" s="150"/>
      <c r="D57" s="150"/>
      <c r="E57" s="150"/>
      <c r="F57" s="150"/>
      <c r="G57" s="150"/>
      <c r="H57" s="150"/>
      <c r="I57" s="150"/>
      <c r="J57" s="150"/>
      <c r="K57" s="150"/>
      <c r="L57" s="373"/>
      <c r="M57" s="815"/>
      <c r="N57" s="815"/>
      <c r="P57" s="111"/>
      <c r="Q57" s="811"/>
      <c r="R57" s="111"/>
      <c r="S57" s="816"/>
      <c r="T57" s="818" t="s">
        <v>1440</v>
      </c>
      <c r="U57" s="338"/>
      <c r="V57" s="338"/>
      <c r="W57" s="338"/>
      <c r="X57" s="338"/>
      <c r="Y57" s="338"/>
      <c r="Z57" s="338"/>
      <c r="AA57" s="338"/>
      <c r="AB57" s="338"/>
      <c r="AC57" s="338"/>
      <c r="AD57" s="338"/>
      <c r="AE57" s="338"/>
      <c r="AF57" s="338"/>
      <c r="AG57" s="338"/>
      <c r="AH57" s="338"/>
      <c r="AI57" s="338"/>
      <c r="AJ57" s="338"/>
      <c r="AK57" s="338"/>
      <c r="AL57" s="338"/>
      <c r="AM57" s="338"/>
      <c r="AO57" s="79"/>
      <c r="AP57" s="79" t="str">
        <f t="shared" si="1"/>
        <v>Добавить наименование тарифа</v>
      </c>
      <c r="AQ57" s="79"/>
      <c r="AR57" s="79"/>
    </row>
    <row r="58" spans="1:44" ht="11.25" hidden="1" customHeight="1">
      <c r="M58" s="72"/>
      <c r="N58" s="72"/>
      <c r="O58" s="72"/>
      <c r="P58" s="24"/>
      <c r="Q58" s="24"/>
      <c r="R58" s="24"/>
      <c r="S58" s="24"/>
      <c r="AN58" s="24"/>
      <c r="AO58" s="24"/>
      <c r="AP58" s="24"/>
      <c r="AQ58" s="24"/>
      <c r="AR58" s="24"/>
    </row>
    <row r="59" spans="1:44" ht="18.75" hidden="1" customHeight="1">
      <c r="O59" s="72"/>
      <c r="S59" s="210" t="s">
        <v>1510</v>
      </c>
      <c r="T59" s="1336" t="s">
        <v>1519</v>
      </c>
      <c r="U59" s="1336"/>
      <c r="V59" s="1336"/>
      <c r="W59" s="1336"/>
      <c r="X59" s="1336"/>
      <c r="Y59" s="1336"/>
      <c r="Z59" s="1336"/>
      <c r="AA59" s="1336"/>
      <c r="AB59" s="1336"/>
      <c r="AC59" s="1336"/>
      <c r="AD59" s="1336"/>
      <c r="AE59" s="1336"/>
      <c r="AF59" s="1336"/>
      <c r="AG59" s="1336"/>
      <c r="AH59" s="1336"/>
      <c r="AI59" s="1336"/>
      <c r="AJ59" s="1336"/>
      <c r="AK59" s="1336"/>
      <c r="AL59" s="1336"/>
      <c r="AM59" s="1336"/>
    </row>
    <row r="60" spans="1:44" ht="27.75" hidden="1" customHeight="1">
      <c r="O60" s="72"/>
      <c r="T60" s="1336" t="s">
        <v>1520</v>
      </c>
      <c r="U60" s="1336"/>
      <c r="V60" s="1336"/>
      <c r="W60" s="1336"/>
      <c r="X60" s="1336"/>
      <c r="Y60" s="1336"/>
      <c r="Z60" s="1336"/>
      <c r="AA60" s="1336"/>
      <c r="AB60" s="1336"/>
      <c r="AC60" s="1336"/>
      <c r="AD60" s="1336"/>
      <c r="AE60" s="1336"/>
      <c r="AF60" s="1336"/>
      <c r="AG60" s="1336"/>
      <c r="AH60" s="1336"/>
      <c r="AI60" s="1336"/>
      <c r="AJ60" s="1336"/>
      <c r="AK60" s="1336"/>
      <c r="AL60" s="1336"/>
      <c r="AM60" s="1336"/>
    </row>
    <row r="61" spans="1:44" ht="39.75" hidden="1" customHeight="1">
      <c r="O61" s="72"/>
      <c r="T61" s="1336" t="s">
        <v>1521</v>
      </c>
      <c r="U61" s="1336"/>
      <c r="V61" s="1336"/>
      <c r="W61" s="1336"/>
      <c r="X61" s="1336"/>
      <c r="Y61" s="1336"/>
      <c r="Z61" s="1336"/>
      <c r="AA61" s="1336"/>
      <c r="AB61" s="1336"/>
      <c r="AC61" s="1336"/>
      <c r="AD61" s="1336"/>
      <c r="AE61" s="1336"/>
      <c r="AF61" s="1336"/>
      <c r="AG61" s="1336"/>
      <c r="AH61" s="1336"/>
      <c r="AI61" s="1336"/>
      <c r="AJ61" s="1336"/>
      <c r="AK61" s="1336"/>
      <c r="AL61" s="1336"/>
      <c r="AM61" s="1336"/>
    </row>
    <row r="62" spans="1:44" ht="14.25" hidden="1" customHeight="1">
      <c r="O62" s="72"/>
    </row>
    <row r="63" spans="1:44" ht="19.5" hidden="1" customHeight="1">
      <c r="O63" s="72"/>
      <c r="S63" s="210" t="s">
        <v>1510</v>
      </c>
      <c r="T63" s="1165" t="s">
        <v>1513</v>
      </c>
      <c r="U63" s="1336"/>
      <c r="V63" s="1336"/>
      <c r="W63" s="1336"/>
      <c r="X63" s="1336"/>
      <c r="Y63" s="1336"/>
      <c r="Z63" s="1336"/>
      <c r="AA63" s="1336"/>
      <c r="AB63" s="1336"/>
      <c r="AC63" s="1336"/>
      <c r="AD63" s="1336"/>
      <c r="AE63" s="1336"/>
      <c r="AF63" s="1336"/>
      <c r="AG63" s="1336"/>
      <c r="AH63" s="1336"/>
      <c r="AI63" s="1336"/>
      <c r="AJ63" s="1336"/>
      <c r="AK63" s="1336"/>
      <c r="AL63" s="1336"/>
      <c r="AM63" s="1336"/>
    </row>
    <row r="64" spans="1:44" ht="27.75" hidden="1" customHeight="1">
      <c r="O64" s="72"/>
      <c r="T64" s="1336" t="s">
        <v>1522</v>
      </c>
      <c r="U64" s="1336"/>
      <c r="V64" s="1336"/>
      <c r="W64" s="1336"/>
      <c r="X64" s="1336"/>
      <c r="Y64" s="1336"/>
      <c r="Z64" s="1336"/>
      <c r="AA64" s="1336"/>
      <c r="AB64" s="1336"/>
      <c r="AC64" s="1336"/>
      <c r="AD64" s="1336"/>
      <c r="AE64" s="1336"/>
      <c r="AF64" s="1336"/>
      <c r="AG64" s="1336"/>
      <c r="AH64" s="1336"/>
      <c r="AI64" s="1336"/>
      <c r="AJ64" s="1336"/>
      <c r="AK64" s="1336"/>
      <c r="AL64" s="1336"/>
      <c r="AM64" s="1336"/>
    </row>
    <row r="65" spans="20:39" ht="33.75" hidden="1" customHeight="1">
      <c r="T65" s="1336" t="s">
        <v>1523</v>
      </c>
      <c r="U65" s="1336"/>
      <c r="V65" s="1336"/>
      <c r="W65" s="1336"/>
      <c r="X65" s="1336"/>
      <c r="Y65" s="1336"/>
      <c r="Z65" s="1336"/>
      <c r="AA65" s="1336"/>
      <c r="AB65" s="1336"/>
      <c r="AC65" s="1336"/>
      <c r="AD65" s="1336"/>
      <c r="AE65" s="1336"/>
      <c r="AF65" s="1336"/>
      <c r="AG65" s="1336"/>
      <c r="AH65" s="1336"/>
      <c r="AI65" s="1336"/>
      <c r="AJ65" s="1336"/>
      <c r="AK65" s="1336"/>
      <c r="AL65" s="1336"/>
      <c r="AM65" s="1336"/>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2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2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2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2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2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2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2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2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3FB9EF-8EE8-2CFE-BF7F-61981819432A}">
  <sheetPr>
    <tabColor rgb="FFCCCCFF"/>
  </sheetPr>
  <dimension ref="A1:P76"/>
  <sheetViews>
    <sheetView showGridLines="0" topLeftCell="C31" zoomScale="90" workbookViewId="0">
      <selection activeCell="I65" sqref="I65"/>
    </sheetView>
  </sheetViews>
  <sheetFormatPr defaultColWidth="9.140625" defaultRowHeight="11.25" customHeight="1"/>
  <cols>
    <col min="1" max="1" width="10.7109375" style="1035" hidden="1" customWidth="1"/>
    <col min="2" max="2" width="10.7109375" style="454" hidden="1" customWidth="1"/>
    <col min="3" max="3" width="3.7109375" style="1038" customWidth="1"/>
    <col min="4" max="4" width="1.7109375" style="24" customWidth="1"/>
    <col min="5" max="5" width="55.28515625" style="24" customWidth="1"/>
    <col min="6" max="6" width="50.7109375" style="24" customWidth="1"/>
    <col min="7" max="7" width="1.7109375" style="68" customWidth="1"/>
    <col min="8" max="8" width="18" style="24" hidden="1" customWidth="1"/>
    <col min="9" max="9" width="9.5703125" style="225" customWidth="1"/>
    <col min="10" max="10" width="52.140625" style="72" hidden="1" customWidth="1"/>
    <col min="11" max="11" width="9.140625" style="24"/>
    <col min="12" max="12" width="78" style="24" customWidth="1"/>
    <col min="13" max="16" width="9.140625" style="24"/>
  </cols>
  <sheetData>
    <row r="1" spans="1:11" s="355" customFormat="1" ht="3" customHeight="1">
      <c r="A1" s="482"/>
      <c r="B1" s="146"/>
      <c r="F1" s="147">
        <v>26354809</v>
      </c>
      <c r="G1" s="256"/>
      <c r="H1" s="11"/>
      <c r="I1" s="256"/>
      <c r="J1" s="315"/>
    </row>
    <row r="2" spans="1:11" s="54" customFormat="1" ht="14.25" customHeight="1">
      <c r="A2" s="482"/>
      <c r="B2" s="38"/>
      <c r="E2" s="996" t="str">
        <f>code</f>
        <v>Код отчёта: PP110.OPEN.INFO.QUARTER.HEAT.EIAS</v>
      </c>
      <c r="F2" s="163"/>
      <c r="G2" s="1036"/>
      <c r="H2" s="1036"/>
      <c r="I2" s="1036"/>
      <c r="J2" s="1037"/>
      <c r="K2" s="1036"/>
    </row>
    <row r="3" spans="1:11" ht="14.25" customHeight="1">
      <c r="E3" s="149" t="str">
        <f>version</f>
        <v>Версия отчёта: 1.0.0</v>
      </c>
      <c r="F3" s="163"/>
      <c r="G3"/>
      <c r="H3"/>
      <c r="I3"/>
      <c r="J3" s="71"/>
      <c r="K3"/>
    </row>
    <row r="4" spans="1:11" s="298" customFormat="1" ht="6" customHeight="1">
      <c r="A4" s="482"/>
      <c r="B4" s="137"/>
      <c r="C4" s="138"/>
      <c r="D4" s="139"/>
      <c r="E4" s="141"/>
      <c r="F4" s="148"/>
      <c r="G4" s="164"/>
      <c r="H4" s="14"/>
      <c r="I4" s="256"/>
      <c r="J4" s="542"/>
    </row>
    <row r="5" spans="1:11" ht="37.5" customHeight="1">
      <c r="D5" s="15"/>
      <c r="E5" s="1104"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1105"/>
      <c r="G5" s="474"/>
      <c r="J5" s="543"/>
    </row>
    <row r="6" spans="1:11" s="298" customFormat="1" ht="6" customHeight="1">
      <c r="A6" s="482"/>
      <c r="B6" s="137"/>
      <c r="C6" s="138"/>
      <c r="D6" s="139"/>
      <c r="E6" s="142"/>
      <c r="F6" s="143"/>
      <c r="G6" s="474"/>
      <c r="H6" s="14"/>
      <c r="I6" s="256"/>
      <c r="J6" s="542"/>
    </row>
    <row r="7" spans="1:11" ht="19.5" customHeight="1">
      <c r="D7" s="15"/>
      <c r="E7" s="241" t="s">
        <v>13</v>
      </c>
      <c r="F7" s="123" t="s">
        <v>14</v>
      </c>
      <c r="G7" s="474"/>
    </row>
    <row r="8" spans="1:11" s="298" customFormat="1" ht="6" customHeight="1">
      <c r="A8" s="483"/>
      <c r="B8" s="137"/>
      <c r="C8" s="138"/>
      <c r="D8" s="144"/>
      <c r="E8" s="142"/>
      <c r="F8" s="145"/>
      <c r="G8" s="17"/>
      <c r="H8" s="14"/>
      <c r="I8" s="256"/>
      <c r="J8" s="545"/>
    </row>
    <row r="9" spans="1:11" ht="22.5" hidden="1" customHeight="1">
      <c r="A9" s="1107" t="s">
        <v>15</v>
      </c>
      <c r="D9" s="15"/>
      <c r="E9" s="1033" t="s">
        <v>16</v>
      </c>
      <c r="F9" s="1031" t="s">
        <v>17</v>
      </c>
      <c r="G9" s="17"/>
      <c r="H9" s="475" t="s">
        <v>18</v>
      </c>
      <c r="J9" s="544" t="s">
        <v>19</v>
      </c>
    </row>
    <row r="10" spans="1:11" ht="22.5" hidden="1" customHeight="1">
      <c r="A10" s="1107"/>
      <c r="D10" s="15"/>
      <c r="E10" s="1033" t="s">
        <v>20</v>
      </c>
      <c r="F10" s="1031"/>
      <c r="G10" s="13"/>
      <c r="J10" s="544" t="s">
        <v>21</v>
      </c>
    </row>
    <row r="11" spans="1:11" s="24" customFormat="1" ht="22.5" hidden="1" customHeight="1">
      <c r="A11" s="485" t="s">
        <v>22</v>
      </c>
      <c r="B11" s="38"/>
      <c r="C11" s="12"/>
      <c r="D11" s="15"/>
      <c r="E11" s="1033" t="s">
        <v>23</v>
      </c>
      <c r="F11" s="1031" t="s">
        <v>17</v>
      </c>
      <c r="G11" s="17"/>
      <c r="H11"/>
      <c r="I11" s="256"/>
      <c r="J11" s="544" t="s">
        <v>24</v>
      </c>
    </row>
    <row r="12" spans="1:11" s="24" customFormat="1" ht="27" customHeight="1">
      <c r="A12" s="485" t="s">
        <v>25</v>
      </c>
      <c r="B12" s="38"/>
      <c r="C12" s="12"/>
      <c r="D12" s="15"/>
      <c r="E12" s="1033" t="s">
        <v>26</v>
      </c>
      <c r="F12" s="1032">
        <v>2023</v>
      </c>
      <c r="G12" s="17"/>
      <c r="H12"/>
      <c r="I12" s="256"/>
      <c r="J12" s="544" t="s">
        <v>27</v>
      </c>
    </row>
    <row r="13" spans="1:11" s="24" customFormat="1" ht="19.5" customHeight="1">
      <c r="A13" s="485" t="s">
        <v>28</v>
      </c>
      <c r="B13" s="38"/>
      <c r="C13" s="12"/>
      <c r="D13" s="15"/>
      <c r="E13" s="1033" t="s">
        <v>29</v>
      </c>
      <c r="F13" s="1032" t="s">
        <v>30</v>
      </c>
      <c r="G13" s="17"/>
      <c r="H13"/>
      <c r="I13" s="256"/>
      <c r="J13" s="544" t="s">
        <v>31</v>
      </c>
    </row>
    <row r="14" spans="1:11" s="298" customFormat="1" ht="6" customHeight="1">
      <c r="A14" s="483"/>
      <c r="B14" s="137"/>
      <c r="C14" s="138"/>
      <c r="D14" s="144"/>
      <c r="E14" s="142"/>
      <c r="F14" s="145"/>
      <c r="G14" s="17"/>
      <c r="H14" s="14"/>
      <c r="I14" s="256"/>
      <c r="J14" s="542"/>
    </row>
    <row r="15" spans="1:11" ht="19.5" customHeight="1">
      <c r="D15" s="15"/>
      <c r="E15" s="241" t="s">
        <v>32</v>
      </c>
      <c r="F15" s="124" t="s">
        <v>33</v>
      </c>
      <c r="G15" s="13"/>
      <c r="H15" s="475" t="s">
        <v>18</v>
      </c>
    </row>
    <row r="16" spans="1:11" ht="22.5" hidden="1" customHeight="1">
      <c r="D16" s="15"/>
      <c r="E16" s="241" t="s">
        <v>34</v>
      </c>
      <c r="F16" s="989" t="s">
        <v>35</v>
      </c>
      <c r="G16" s="13"/>
      <c r="I16" s="476"/>
      <c r="J16" s="1106" t="s">
        <v>36</v>
      </c>
    </row>
    <row r="17" spans="1:10" ht="22.5" hidden="1" customHeight="1">
      <c r="D17" s="15"/>
      <c r="E17" s="241" t="s">
        <v>37</v>
      </c>
      <c r="F17" s="989"/>
      <c r="G17" s="13"/>
      <c r="I17" s="476"/>
      <c r="J17" s="1106"/>
    </row>
    <row r="18" spans="1:10" ht="22.5" hidden="1" customHeight="1">
      <c r="D18" s="15"/>
      <c r="E18" s="16"/>
      <c r="F18" s="164" t="str">
        <f>"Первичное "&amp;IF(TEMPLATE_GROUP="P","установление тарифов","предложение по тарифам")</f>
        <v>Первичное предложение по тарифам</v>
      </c>
      <c r="G18" s="13"/>
      <c r="I18" s="17"/>
      <c r="J18" s="543" t="s">
        <v>38</v>
      </c>
    </row>
    <row r="19" spans="1:10" ht="19.5" hidden="1" customHeight="1">
      <c r="D19" s="15"/>
      <c r="E19" s="241" t="str">
        <f>"Дата "&amp;IF(TEMPLATE_GROUP="P","документа","подачи заявления")&amp;" об "&amp;IF(TITLE_DATE_PR_CHANGE="","утверждении","изменении")&amp;" тарифов"</f>
        <v>Дата подачи заявления об утверждении тарифов</v>
      </c>
      <c r="F19" s="988" t="s">
        <v>17</v>
      </c>
      <c r="G19" s="13"/>
      <c r="I19" s="477"/>
    </row>
    <row r="20" spans="1:10" ht="19.5" hidden="1" customHeight="1">
      <c r="D20" s="15"/>
      <c r="E20" s="241" t="str">
        <f>"Номер "&amp;IF(TEMPLATE_GROUP="P","документа","подачи заявления")&amp;" об "&amp;IF(TITLE_NUMBER_PR_CHANGE="","утверждении","изменении")&amp;" тарифов"</f>
        <v>Номер подачи заявления об утверждении тарифов</v>
      </c>
      <c r="F20" s="124"/>
      <c r="G20" s="13"/>
      <c r="I20" s="477"/>
    </row>
    <row r="21" spans="1:10" ht="22.5" hidden="1" customHeight="1">
      <c r="D21" s="15"/>
      <c r="E21" s="241" t="s">
        <v>39</v>
      </c>
      <c r="F21" s="124"/>
      <c r="G21" s="13"/>
    </row>
    <row r="22" spans="1:10" ht="19.5" hidden="1" customHeight="1">
      <c r="D22" s="15"/>
      <c r="E22" s="241" t="s">
        <v>40</v>
      </c>
      <c r="F22" s="124"/>
      <c r="G22" s="13"/>
    </row>
    <row r="23" spans="1:10" ht="22.5" hidden="1" customHeight="1">
      <c r="D23" s="15"/>
      <c r="E23" s="16"/>
      <c r="F23" s="164" t="str">
        <f>"Изменение "&amp;IF(TEMPLATE_GROUP="P","тарифов","предложения по тарифам")</f>
        <v>Изменение предложения по тарифам</v>
      </c>
      <c r="G23" s="13"/>
      <c r="J23" s="543" t="s">
        <v>41</v>
      </c>
    </row>
    <row r="24" spans="1:10" ht="22.5" hidden="1" customHeight="1">
      <c r="D24" s="15"/>
      <c r="E24" s="241" t="s">
        <v>42</v>
      </c>
      <c r="F24" s="126"/>
      <c r="G24" s="13"/>
    </row>
    <row r="25" spans="1:10" ht="19.5" hidden="1" customHeight="1">
      <c r="D25" s="15"/>
      <c r="E25" s="241" t="s">
        <v>43</v>
      </c>
      <c r="F25" s="989"/>
      <c r="G25" s="13"/>
    </row>
    <row r="26" spans="1:10" ht="19.5" hidden="1" customHeight="1">
      <c r="D26" s="15"/>
      <c r="E26" s="241" t="s">
        <v>44</v>
      </c>
      <c r="F26" s="126"/>
      <c r="G26" s="13"/>
    </row>
    <row r="27" spans="1:10" ht="19.5" hidden="1" customHeight="1">
      <c r="D27" s="15"/>
      <c r="E27" s="241" t="s">
        <v>40</v>
      </c>
      <c r="F27" s="126"/>
      <c r="G27" s="13"/>
    </row>
    <row r="28" spans="1:10" s="298" customFormat="1" ht="6" customHeight="1">
      <c r="A28" s="483"/>
      <c r="B28" s="137"/>
      <c r="C28" s="138"/>
      <c r="D28" s="144"/>
      <c r="E28" s="142"/>
      <c r="F28" s="145"/>
      <c r="G28" s="17"/>
      <c r="H28" s="14"/>
      <c r="I28" s="256"/>
      <c r="J28" s="542"/>
    </row>
    <row r="29" spans="1:10" ht="19.5" customHeight="1">
      <c r="C29" s="18"/>
      <c r="D29" s="19"/>
      <c r="E29" s="241" t="s">
        <v>45</v>
      </c>
      <c r="F29" s="125" t="s">
        <v>46</v>
      </c>
      <c r="G29" s="478"/>
    </row>
    <row r="30" spans="1:10" ht="19.5" hidden="1" customHeight="1">
      <c r="C30" s="18"/>
      <c r="D30" s="19"/>
      <c r="E30" s="242" t="s">
        <v>47</v>
      </c>
      <c r="F30" s="1034"/>
      <c r="G30" s="478"/>
    </row>
    <row r="31" spans="1:10" ht="19.5" customHeight="1">
      <c r="C31" s="18"/>
      <c r="D31" s="19"/>
      <c r="E31" s="241" t="s">
        <v>48</v>
      </c>
      <c r="F31" s="125" t="s">
        <v>49</v>
      </c>
      <c r="G31" s="478"/>
    </row>
    <row r="32" spans="1:10" ht="19.5" customHeight="1">
      <c r="C32" s="18"/>
      <c r="D32" s="19"/>
      <c r="E32" s="241" t="s">
        <v>50</v>
      </c>
      <c r="F32" s="125" t="s">
        <v>51</v>
      </c>
      <c r="G32" s="478"/>
      <c r="H32" s="20"/>
    </row>
    <row r="33" spans="1:10" s="298" customFormat="1" ht="11.25" customHeight="1">
      <c r="A33" s="483"/>
      <c r="B33" s="137"/>
      <c r="C33" s="138"/>
      <c r="D33" s="144"/>
      <c r="E33" s="142"/>
      <c r="F33" s="145"/>
      <c r="G33" s="17"/>
      <c r="H33" s="14"/>
      <c r="I33" s="256"/>
      <c r="J33" s="542"/>
    </row>
    <row r="34" spans="1:10" ht="19.5" customHeight="1">
      <c r="A34" s="546"/>
      <c r="D34" s="19"/>
      <c r="E34" s="241" t="s">
        <v>52</v>
      </c>
      <c r="F34" s="215" t="s">
        <v>53</v>
      </c>
      <c r="G34" s="17"/>
    </row>
    <row r="35" spans="1:10" ht="19.5" customHeight="1">
      <c r="A35" s="546"/>
      <c r="D35" s="19"/>
      <c r="E35" s="241" t="s">
        <v>54</v>
      </c>
      <c r="F35" s="215" t="s">
        <v>55</v>
      </c>
      <c r="G35" s="17"/>
    </row>
    <row r="36" spans="1:10" s="298" customFormat="1" ht="6" customHeight="1">
      <c r="A36" s="483"/>
      <c r="B36" s="137"/>
      <c r="C36" s="138"/>
      <c r="D36" s="139"/>
      <c r="E36" s="140"/>
      <c r="F36" s="661"/>
      <c r="G36" s="13"/>
      <c r="H36" s="14"/>
      <c r="I36" s="256"/>
      <c r="J36" s="544"/>
    </row>
    <row r="37" spans="1:10" ht="22.5" customHeight="1">
      <c r="A37" s="483"/>
      <c r="D37" s="15"/>
      <c r="E37" s="241" t="s">
        <v>56</v>
      </c>
      <c r="F37" s="434" t="s">
        <v>57</v>
      </c>
      <c r="G37" s="13"/>
      <c r="H37" s="475" t="s">
        <v>18</v>
      </c>
    </row>
    <row r="38" spans="1:10" s="298" customFormat="1" ht="6" hidden="1" customHeight="1">
      <c r="A38" s="482"/>
      <c r="B38" s="137"/>
      <c r="C38" s="138"/>
      <c r="D38" s="139"/>
      <c r="E38" s="140"/>
      <c r="F38" s="661"/>
      <c r="G38" s="13"/>
      <c r="H38" s="14"/>
      <c r="I38" s="256"/>
      <c r="J38" s="544"/>
    </row>
    <row r="39" spans="1:10" s="24" customFormat="1" ht="19.5" hidden="1" customHeight="1">
      <c r="A39" s="485" t="s">
        <v>22</v>
      </c>
      <c r="B39" s="38"/>
      <c r="C39" s="12"/>
      <c r="D39" s="15"/>
      <c r="E39" s="241" t="str">
        <f>"Дифференциация информации по централизованным системам  "&amp;TEMPLATE_SPHERE_RUS</f>
        <v>Дифференциация информации по централизованным системам  теплоснабжения</v>
      </c>
      <c r="F39" s="434" t="s">
        <v>57</v>
      </c>
      <c r="G39" s="13"/>
      <c r="I39" s="256"/>
      <c r="J39" s="544"/>
    </row>
    <row r="40" spans="1:10" s="298" customFormat="1" ht="6" hidden="1" customHeight="1">
      <c r="A40" s="482"/>
      <c r="B40" s="137"/>
      <c r="C40" s="138"/>
      <c r="D40" s="139"/>
      <c r="E40" s="140"/>
      <c r="F40" s="661"/>
      <c r="G40" s="13"/>
      <c r="H40" s="14"/>
      <c r="I40" s="256"/>
      <c r="J40" s="542"/>
    </row>
    <row r="41" spans="1:10" s="24" customFormat="1" ht="22.5" hidden="1" customHeight="1">
      <c r="A41" s="482"/>
      <c r="B41" s="38"/>
      <c r="C41" s="12"/>
      <c r="D41" s="15"/>
      <c r="E41" s="241" t="s">
        <v>58</v>
      </c>
      <c r="F41" s="434"/>
      <c r="G41" s="13"/>
      <c r="I41" s="256"/>
      <c r="J41" s="544"/>
    </row>
    <row r="42" spans="1:10" s="24" customFormat="1" ht="22.5" hidden="1" customHeight="1">
      <c r="A42" s="482"/>
      <c r="B42" s="38"/>
      <c r="C42" s="12"/>
      <c r="D42" s="15"/>
      <c r="E42" s="241" t="s">
        <v>59</v>
      </c>
      <c r="F42" s="462"/>
      <c r="G42" s="13"/>
      <c r="I42" s="256"/>
      <c r="J42" s="544"/>
    </row>
    <row r="43" spans="1:10" s="298" customFormat="1" ht="6" hidden="1" customHeight="1">
      <c r="A43" s="482"/>
      <c r="B43" s="137"/>
      <c r="C43" s="138"/>
      <c r="D43" s="139"/>
      <c r="E43" s="140"/>
      <c r="F43" s="661"/>
      <c r="G43" s="13"/>
      <c r="H43" s="14"/>
      <c r="I43" s="256"/>
      <c r="J43" s="544"/>
    </row>
    <row r="44" spans="1:10" s="298" customFormat="1" ht="22.5" hidden="1" customHeight="1">
      <c r="A44" s="482"/>
      <c r="B44" s="137"/>
      <c r="C44" s="138"/>
      <c r="D44" s="139"/>
      <c r="E44" s="241" t="s">
        <v>60</v>
      </c>
      <c r="F44" s="434" t="s">
        <v>57</v>
      </c>
      <c r="G44" s="13"/>
      <c r="H44" s="14"/>
      <c r="I44" s="256"/>
      <c r="J44" s="544"/>
    </row>
    <row r="45" spans="1:10" s="24" customFormat="1" ht="22.5" hidden="1" customHeight="1">
      <c r="A45" s="482"/>
      <c r="B45" s="38"/>
      <c r="C45" s="12"/>
      <c r="D45" s="15"/>
      <c r="E45" s="241" t="s">
        <v>61</v>
      </c>
      <c r="F45" s="434" t="s">
        <v>57</v>
      </c>
      <c r="G45" s="13"/>
      <c r="I45" s="256"/>
      <c r="J45" s="544"/>
    </row>
    <row r="46" spans="1:10" s="298" customFormat="1" ht="6" hidden="1" customHeight="1">
      <c r="A46" s="482"/>
      <c r="B46" s="137"/>
      <c r="C46" s="138"/>
      <c r="D46" s="139"/>
      <c r="E46" s="140"/>
      <c r="F46" s="661"/>
      <c r="G46" s="13"/>
      <c r="H46" s="14"/>
      <c r="I46" s="256"/>
      <c r="J46" s="544"/>
    </row>
    <row r="47" spans="1:10" ht="19.5" hidden="1" customHeight="1">
      <c r="B47" s="38"/>
      <c r="D47" s="15"/>
      <c r="E47" s="24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7" s="434"/>
      <c r="G47" s="13"/>
    </row>
    <row r="48" spans="1:10" s="298" customFormat="1" ht="6" hidden="1" customHeight="1">
      <c r="A48" s="483"/>
      <c r="B48" s="137"/>
      <c r="C48" s="138"/>
      <c r="D48" s="144"/>
      <c r="E48" s="142"/>
      <c r="F48" s="145"/>
      <c r="G48" s="17"/>
      <c r="H48" s="14"/>
      <c r="I48" s="256"/>
      <c r="J48" s="544"/>
    </row>
    <row r="49" spans="1:16" s="24" customFormat="1" ht="22.5" hidden="1" customHeight="1">
      <c r="A49" s="484"/>
      <c r="B49" s="38"/>
      <c r="C49" s="12"/>
      <c r="D49" s="256"/>
      <c r="E49" s="241" t="s">
        <v>62</v>
      </c>
      <c r="F49" s="434" t="s">
        <v>57</v>
      </c>
      <c r="G49" s="164"/>
      <c r="I49" s="326"/>
      <c r="J49" s="544"/>
      <c r="P49" s="327"/>
    </row>
    <row r="50" spans="1:16" s="298" customFormat="1" ht="6" hidden="1" customHeight="1">
      <c r="A50" s="483"/>
      <c r="B50" s="137"/>
      <c r="C50" s="138"/>
      <c r="D50" s="144"/>
      <c r="E50" s="142"/>
      <c r="F50" s="145"/>
      <c r="G50" s="17"/>
      <c r="H50" s="14"/>
      <c r="I50" s="256"/>
      <c r="J50" s="542"/>
    </row>
    <row r="51" spans="1:16" s="24" customFormat="1" ht="22.5" hidden="1" customHeight="1">
      <c r="A51" s="484"/>
      <c r="B51" s="38"/>
      <c r="C51" s="12"/>
      <c r="D51" s="256"/>
      <c r="E51" s="241" t="s">
        <v>63</v>
      </c>
      <c r="F51" s="660" t="s">
        <v>57</v>
      </c>
      <c r="G51" s="164"/>
      <c r="I51" s="326"/>
      <c r="J51" s="544"/>
      <c r="P51" s="327"/>
    </row>
    <row r="52" spans="1:16" s="24" customFormat="1" ht="22.5" hidden="1" customHeight="1">
      <c r="A52" s="484"/>
      <c r="B52" s="38"/>
      <c r="C52" s="12"/>
      <c r="D52" s="256"/>
      <c r="E52" s="241" t="s">
        <v>64</v>
      </c>
      <c r="F52" s="662"/>
      <c r="G52" s="164"/>
      <c r="I52" s="326"/>
      <c r="J52" s="544"/>
      <c r="P52" s="327"/>
    </row>
    <row r="53" spans="1:16" s="298" customFormat="1" ht="6" hidden="1" customHeight="1">
      <c r="A53" s="483"/>
      <c r="B53" s="137"/>
      <c r="C53" s="138"/>
      <c r="D53" s="144"/>
      <c r="E53" s="142"/>
      <c r="F53" s="145"/>
      <c r="G53" s="17"/>
      <c r="H53" s="14"/>
      <c r="I53" s="256"/>
      <c r="J53" s="542"/>
    </row>
    <row r="54" spans="1:16" s="24" customFormat="1" ht="22.5" hidden="1" customHeight="1">
      <c r="A54" s="484"/>
      <c r="B54" s="38"/>
      <c r="C54" s="12"/>
      <c r="D54" s="256"/>
      <c r="E54" s="241" t="s">
        <v>65</v>
      </c>
      <c r="F54" s="660" t="s">
        <v>57</v>
      </c>
      <c r="G54" s="164"/>
      <c r="I54" s="326"/>
      <c r="J54" s="544"/>
      <c r="P54" s="327"/>
    </row>
    <row r="55" spans="1:16" s="298" customFormat="1" ht="6" hidden="1" customHeight="1">
      <c r="A55" s="483"/>
      <c r="B55" s="137"/>
      <c r="C55" s="138"/>
      <c r="D55" s="144"/>
      <c r="E55" s="142"/>
      <c r="F55" s="145"/>
      <c r="G55" s="17"/>
      <c r="H55" s="14"/>
      <c r="I55" s="256"/>
      <c r="J55" s="542"/>
    </row>
    <row r="56" spans="1:16" s="24" customFormat="1" ht="15" hidden="1" customHeight="1">
      <c r="A56" s="484"/>
      <c r="B56" s="38"/>
      <c r="C56" s="12"/>
      <c r="D56" s="256"/>
      <c r="E56" s="241" t="s">
        <v>66</v>
      </c>
      <c r="F56" s="660" t="s">
        <v>67</v>
      </c>
      <c r="G56" s="164"/>
      <c r="I56" s="326"/>
      <c r="J56" s="544"/>
      <c r="P56" s="327"/>
    </row>
    <row r="57" spans="1:16" s="24" customFormat="1" ht="15" hidden="1" customHeight="1">
      <c r="A57" s="484"/>
      <c r="B57" s="38"/>
      <c r="C57" s="12"/>
      <c r="D57" s="256"/>
      <c r="E57" s="24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7" s="660"/>
      <c r="G57" s="164"/>
      <c r="I57" s="326"/>
      <c r="J57" s="544"/>
      <c r="P57" s="327"/>
    </row>
    <row r="58" spans="1:16" s="24" customFormat="1" ht="15" hidden="1" customHeight="1">
      <c r="A58" s="484"/>
      <c r="B58" s="38"/>
      <c r="C58" s="12"/>
      <c r="D58" s="256"/>
      <c r="E58" s="241" t="s">
        <v>68</v>
      </c>
      <c r="F58" s="711"/>
      <c r="G58" s="164"/>
      <c r="I58" s="326"/>
      <c r="J58" s="544"/>
      <c r="P58" s="327"/>
    </row>
    <row r="59" spans="1:16" s="298" customFormat="1" ht="6" hidden="1" customHeight="1">
      <c r="A59" s="483"/>
      <c r="B59" s="137"/>
      <c r="C59" s="138"/>
      <c r="D59" s="139"/>
      <c r="E59" s="140"/>
      <c r="F59" s="661"/>
      <c r="G59" s="13"/>
      <c r="H59" s="14"/>
      <c r="I59" s="256"/>
      <c r="J59" s="544"/>
    </row>
    <row r="60" spans="1:16" s="24" customFormat="1" ht="33.75" hidden="1" customHeight="1">
      <c r="A60" s="483"/>
      <c r="B60" s="38"/>
      <c r="C60" s="12"/>
      <c r="D60" s="15"/>
      <c r="E60" s="241" t="s">
        <v>69</v>
      </c>
      <c r="F60" s="434" t="s">
        <v>67</v>
      </c>
      <c r="G60" s="13"/>
      <c r="H60" s="475" t="s">
        <v>18</v>
      </c>
      <c r="I60" s="256"/>
      <c r="J60" s="544"/>
    </row>
    <row r="61" spans="1:16" s="298" customFormat="1" ht="6" customHeight="1">
      <c r="A61" s="483"/>
      <c r="B61" s="137"/>
      <c r="C61" s="138"/>
      <c r="D61" s="144"/>
      <c r="E61" s="142"/>
      <c r="F61" s="145"/>
      <c r="G61" s="17"/>
      <c r="H61" s="14"/>
      <c r="I61" s="256"/>
      <c r="J61" s="542"/>
    </row>
    <row r="62" spans="1:16" ht="19.5" customHeight="1">
      <c r="A62" s="482"/>
      <c r="B62" s="39"/>
      <c r="D62" s="22"/>
      <c r="E62" s="241" t="s">
        <v>70</v>
      </c>
      <c r="F62" s="124" t="s">
        <v>71</v>
      </c>
      <c r="G62" s="17"/>
    </row>
    <row r="63" spans="1:16" ht="19.5" customHeight="1">
      <c r="A63" s="482"/>
      <c r="B63" s="39"/>
      <c r="D63" s="22"/>
      <c r="E63" s="241" t="s">
        <v>72</v>
      </c>
      <c r="F63" s="124" t="s">
        <v>73</v>
      </c>
      <c r="G63" s="17"/>
    </row>
    <row r="64" spans="1:16" ht="35.25" customHeight="1">
      <c r="D64" s="15"/>
      <c r="E64" s="243" t="s">
        <v>74</v>
      </c>
      <c r="F64" s="663"/>
      <c r="G64" s="13"/>
    </row>
    <row r="65" spans="1:9" ht="19.5" customHeight="1">
      <c r="A65" s="482"/>
      <c r="D65" s="15"/>
      <c r="E65" s="241" t="s">
        <v>75</v>
      </c>
      <c r="F65" s="165" t="s">
        <v>76</v>
      </c>
      <c r="G65" s="17"/>
    </row>
    <row r="66" spans="1:9" ht="19.5" customHeight="1">
      <c r="A66" s="482"/>
      <c r="B66" s="39"/>
      <c r="D66" s="22"/>
      <c r="E66" s="241" t="s">
        <v>77</v>
      </c>
      <c r="F66" s="165" t="s">
        <v>78</v>
      </c>
      <c r="G66" s="17"/>
    </row>
    <row r="67" spans="1:9" ht="19.5" customHeight="1">
      <c r="A67" s="482"/>
      <c r="B67" s="39"/>
      <c r="D67" s="22"/>
      <c r="E67" s="241" t="s">
        <v>79</v>
      </c>
      <c r="F67" s="165" t="s">
        <v>80</v>
      </c>
      <c r="G67" s="17"/>
    </row>
    <row r="68" spans="1:9" ht="19.5" customHeight="1">
      <c r="D68" s="15"/>
      <c r="E68" s="241" t="s">
        <v>81</v>
      </c>
      <c r="F68" s="1084" t="s">
        <v>82</v>
      </c>
      <c r="G68" s="13"/>
    </row>
    <row r="69" spans="1:9" ht="20.25" customHeight="1">
      <c r="A69" s="482"/>
      <c r="D69" s="13"/>
      <c r="F69" s="64"/>
      <c r="G69" s="17"/>
    </row>
    <row r="70" spans="1:9" ht="19.5" customHeight="1">
      <c r="A70" s="482"/>
      <c r="B70" s="39"/>
      <c r="D70" s="22"/>
      <c r="E70" s="21"/>
      <c r="F70" s="65"/>
      <c r="G70" s="17"/>
    </row>
    <row r="71" spans="1:9" ht="19.5" customHeight="1">
      <c r="A71" s="482"/>
      <c r="B71" s="39"/>
      <c r="D71" s="22"/>
      <c r="E71" s="21"/>
      <c r="F71" s="65"/>
      <c r="G71" s="17"/>
    </row>
    <row r="72" spans="1:9" ht="19.5" customHeight="1">
      <c r="A72" s="482"/>
      <c r="B72" s="39"/>
      <c r="D72" s="22"/>
      <c r="E72" s="27"/>
      <c r="F72" s="65"/>
      <c r="G72" s="17"/>
    </row>
    <row r="73" spans="1:9" ht="19.5" customHeight="1">
      <c r="A73" s="482"/>
      <c r="B73" s="39"/>
      <c r="D73" s="22"/>
      <c r="E73" s="21"/>
      <c r="F73" s="65"/>
      <c r="G73" s="17"/>
    </row>
    <row r="76" spans="1:9" ht="11.25" customHeight="1">
      <c r="E76" s="240"/>
      <c r="F76" s="240"/>
      <c r="G76" s="240"/>
      <c r="H76" s="240"/>
      <c r="I76" s="240"/>
    </row>
  </sheetData>
  <sheetProtection formatColumns="0" formatRows="0" insertRows="0" deleteColumns="0" deleteRows="0" sort="0" autoFilter="0"/>
  <mergeCells count="3">
    <mergeCell ref="E5:F5"/>
    <mergeCell ref="J16:J17"/>
    <mergeCell ref="A9:A10"/>
  </mergeCells>
  <dataValidations count="10">
    <dataValidation type="textLength" operator="lessThanOrEqual" allowBlank="1" showInputMessage="1" showErrorMessage="1" errorTitle="Ошибка" error="Допускается ввод не более 900 символов!" sqref="F30 F70:F73 F26:F27 F62:F63 F65:F68 F20:F22 F24"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58" xr:uid="{00000000-0002-0000-0100-00000100000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2" xr:uid="{00000000-0002-0000-0100-000002000000}"/>
    <dataValidation type="list" allowBlank="1" showInputMessage="1" showErrorMessage="1" errorTitle="Ошибка" error="Выберите значение из списка" prompt="Выберите значение из списка" sqref="F13" xr:uid="{00000000-0002-0000-0100-000003000000}">
      <formula1>QUARTER</formula1>
    </dataValidation>
    <dataValidation type="list" allowBlank="1" showInputMessage="1" showErrorMessage="1" errorTitle="Ошибка" error="Выберите значение из списка" prompt="Выберите значение из списка" sqref="F12" xr:uid="{00000000-0002-0000-0100-000004000000}">
      <formula1>year_list</formula1>
    </dataValidation>
    <dataValidation type="list" allowBlank="1" showInputMessage="1" showErrorMessage="1" errorTitle="Ошибка" error="Выберите значение из списка" prompt="Выберите значение из списка" sqref="F34" xr:uid="{00000000-0002-0000-0100-000005000000}">
      <formula1>kind_of_org_type</formula1>
    </dataValidation>
    <dataValidation allowBlank="1" showInputMessage="1" showErrorMessage="1" prompt="Для выбора выполните двойной щелчок левой клавиши мыши по соответствующей ячейке." sqref="F47 F51 F54 F56 F49 F37:F39 F41 F43:F45 F60" xr:uid="{00000000-0002-0000-0100-000006000000}"/>
    <dataValidation type="list" allowBlank="1" showInputMessage="1" showErrorMessage="1" errorTitle="Ошибка" error="Выберите значение из списка" prompt="Выберите значение из списка" sqref="F15" xr:uid="{00000000-0002-0000-0100-000007000000}">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5 F19 F16:F17 F9:F11" xr:uid="{00000000-0002-0000-0100-000008000000}"/>
    <dataValidation type="list" allowBlank="1" showInputMessage="1" showErrorMessage="1" errorTitle="Ошибка" error="Выберите значение из списка" prompt="Выберите значение из списка" sqref="F35:F36 F59" xr:uid="{00000000-0002-0000-0100-000009000000}">
      <formula1>kind_of_NDS</formula1>
    </dataValidation>
  </dataValidations>
  <hyperlinks>
    <hyperlink ref="H9" location="Титульный!H9" tooltip="Помощь по работе с полями отчётной формы" display="Как заполнить?" xr:uid="{B0E9B138-FD99-3859-E82D-1106170AA3B8}"/>
    <hyperlink ref="H15" location="Титульный!H9" tooltip="Помощь по работе с полями отчётной формы" display="Как заполнить?" xr:uid="{D1653A22-713B-8F8F-3592-8907A0914502}"/>
    <hyperlink ref="H37" location="Титульный!H9" tooltip="Помощь по работе с полями отчётной формы" display="Как заполнить?" xr:uid="{188A829E-25F8-DF1F-9EA1-8676CA466C92}"/>
    <hyperlink ref="H60" location="Титульный!H9" tooltip="Помощь по работе с полями отчётной формы" display="Как заполнить?" xr:uid="{6F298841-CE22-751C-F023-5FBF162D96D9}"/>
    <hyperlink ref="F68" r:id="rId1" xr:uid="{42067965-1E91-BC06-46A5-56C5541D13AF}"/>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FC0D16-4B32-8365-4EEE-06A602A890A2}">
  <sheetPr>
    <tabColor theme="6" tint="0.39997558519241921"/>
  </sheetPr>
  <dimension ref="A1:AR65"/>
  <sheetViews>
    <sheetView showGridLines="0" topLeftCell="Q25" zoomScale="90" workbookViewId="0"/>
  </sheetViews>
  <sheetFormatPr defaultColWidth="10.5703125" defaultRowHeight="14.25" customHeight="1"/>
  <cols>
    <col min="1" max="1" width="10.5703125" style="72" hidden="1"/>
    <col min="2" max="2" width="11" style="72" hidden="1" customWidth="1"/>
    <col min="3" max="3" width="10.5703125" style="72" hidden="1"/>
    <col min="4" max="4" width="11.85546875" style="72" hidden="1" customWidth="1"/>
    <col min="5" max="5" width="10" style="72" hidden="1" customWidth="1"/>
    <col min="6" max="6" width="8.7109375" style="72" hidden="1" customWidth="1"/>
    <col min="7" max="7" width="7.5703125" style="72" hidden="1" customWidth="1"/>
    <col min="8" max="8" width="11.42578125" style="72" hidden="1" customWidth="1"/>
    <col min="9" max="9" width="12" style="72" hidden="1" customWidth="1"/>
    <col min="10" max="10" width="9.85546875" style="72" hidden="1" customWidth="1"/>
    <col min="11" max="11" width="11.42578125" style="72" hidden="1" customWidth="1"/>
    <col min="12" max="12" width="19.140625" style="388" hidden="1" customWidth="1"/>
    <col min="13" max="14" width="12.28515625" style="541" hidden="1" customWidth="1"/>
    <col min="15" max="15" width="23.42578125" style="541" hidden="1" customWidth="1"/>
    <col min="16" max="16" width="3.7109375" style="42" hidden="1" customWidth="1"/>
    <col min="17" max="18" width="3.7109375" style="37" customWidth="1"/>
    <col min="19" max="19" width="12.7109375" style="368" customWidth="1"/>
    <col min="20" max="20" width="32" style="24" customWidth="1"/>
    <col min="21" max="21" width="0.140625" style="24" customWidth="1"/>
    <col min="22" max="22" width="24.7109375" style="24" hidden="1" customWidth="1"/>
    <col min="23" max="23" width="0.140625" style="24" hidden="1" customWidth="1"/>
    <col min="24" max="25" width="24.7109375" style="24" hidden="1" customWidth="1"/>
    <col min="26" max="26" width="11.7109375" style="24" hidden="1" customWidth="1"/>
    <col min="27" max="27" width="3.7109375" style="24" hidden="1" customWidth="1"/>
    <col min="28" max="28" width="11.7109375" style="24" hidden="1" customWidth="1"/>
    <col min="29" max="29" width="8.5703125" style="24" hidden="1" customWidth="1"/>
    <col min="30" max="30" width="24.7109375" style="24" customWidth="1"/>
    <col min="31" max="31" width="0.140625" style="24" customWidth="1"/>
    <col min="32" max="33" width="24.7109375" style="24" customWidth="1"/>
    <col min="34" max="34" width="11.7109375" style="24" customWidth="1"/>
    <col min="35" max="35" width="3.7109375" style="24" customWidth="1"/>
    <col min="36" max="36" width="11.7109375" style="24" customWidth="1"/>
    <col min="37" max="37" width="8.5703125" style="24" hidden="1" customWidth="1"/>
    <col min="38" max="38" width="4.7109375" style="24" customWidth="1"/>
    <col min="39" max="39" width="115.7109375" style="24" customWidth="1"/>
    <col min="40" max="41" width="10.5703125" style="77"/>
    <col min="42" max="42" width="11.140625" style="77" customWidth="1"/>
    <col min="43" max="44" width="10.5703125" style="77"/>
  </cols>
  <sheetData>
    <row r="1" spans="1:44" ht="14.25" hidden="1" customHeight="1"/>
    <row r="2" spans="1:44" ht="21" hidden="1" customHeight="1">
      <c r="A2" s="822"/>
      <c r="B2" s="822"/>
      <c r="C2" s="822"/>
      <c r="D2" s="822"/>
      <c r="E2" s="1337">
        <v>1</v>
      </c>
      <c r="F2" s="822"/>
      <c r="G2" s="822"/>
      <c r="H2" s="822"/>
      <c r="I2" s="822"/>
      <c r="J2" s="822"/>
      <c r="K2" s="822"/>
      <c r="L2" s="823"/>
      <c r="M2" s="452"/>
      <c r="N2" s="452"/>
      <c r="O2" s="452"/>
      <c r="Q2" s="43"/>
      <c r="R2" s="220"/>
      <c r="S2" s="755" t="e">
        <f>INDEX(PT_DIFFERENTIATION_NUM_NTAR,MATCH(A2,PT_DIFFERENTIATION_NTAR_ID,0))</f>
        <v>#N/A</v>
      </c>
      <c r="T2" s="76" t="s">
        <v>124</v>
      </c>
      <c r="U2" s="179"/>
      <c r="V2" s="1331"/>
      <c r="W2" s="1332"/>
      <c r="X2" s="1332"/>
      <c r="Y2" s="1332"/>
      <c r="Z2" s="1332"/>
      <c r="AA2" s="1332"/>
      <c r="AB2" s="1332"/>
      <c r="AC2" s="1333"/>
      <c r="AD2" s="1331" t="e">
        <f>INDEX(PT_DIFFERENTIATION_NTAR,MATCH(A2,PT_DIFFERENTIATION_NTAR_ID,0))</f>
        <v>#N/A</v>
      </c>
      <c r="AE2" s="1332"/>
      <c r="AF2" s="1332"/>
      <c r="AG2" s="1332"/>
      <c r="AH2" s="1332"/>
      <c r="AI2" s="1332"/>
      <c r="AJ2" s="1332"/>
      <c r="AK2" s="1332"/>
      <c r="AL2" s="1333"/>
      <c r="AM2" s="782" t="s">
        <v>1461</v>
      </c>
      <c r="AO2" s="79"/>
      <c r="AP2" s="79" t="str">
        <f t="shared" ref="AP2:AP15" si="0">IF(T2="","",T2)</f>
        <v>Наименование тарифа</v>
      </c>
      <c r="AQ2" s="79"/>
      <c r="AR2" s="79"/>
    </row>
    <row r="3" spans="1:44" ht="21" hidden="1" customHeight="1">
      <c r="A3" s="822"/>
      <c r="B3" s="822"/>
      <c r="C3" s="822"/>
      <c r="D3" s="822"/>
      <c r="E3" s="1338"/>
      <c r="F3" s="1337">
        <v>1</v>
      </c>
      <c r="G3" s="822"/>
      <c r="H3" s="822"/>
      <c r="I3" s="822"/>
      <c r="J3" s="822"/>
      <c r="K3" s="822"/>
      <c r="L3" s="823"/>
      <c r="M3" s="452"/>
      <c r="N3" s="452"/>
      <c r="O3" s="452"/>
      <c r="P3" s="68"/>
      <c r="Q3" s="217"/>
      <c r="R3" s="218"/>
      <c r="S3" s="755" t="e">
        <f>INDEX(PT_DIFFERENTIATION_NUM_TER,MATCH(B3,PT_DIFFERENTIATION_TER_ID,0))</f>
        <v>#N/A</v>
      </c>
      <c r="T3" s="187" t="s">
        <v>1462</v>
      </c>
      <c r="U3" s="179"/>
      <c r="V3" s="1331"/>
      <c r="W3" s="1332"/>
      <c r="X3" s="1332"/>
      <c r="Y3" s="1332"/>
      <c r="Z3" s="1332"/>
      <c r="AA3" s="1332"/>
      <c r="AB3" s="1332"/>
      <c r="AC3" s="1333"/>
      <c r="AD3" s="1331" t="e">
        <f>INDEX(PT_DIFFERENTIATION_TER,MATCH(B3,PT_DIFFERENTIATION_TER_ID,0))</f>
        <v>#N/A</v>
      </c>
      <c r="AE3" s="1332"/>
      <c r="AF3" s="1332"/>
      <c r="AG3" s="1332"/>
      <c r="AH3" s="1332"/>
      <c r="AI3" s="1332"/>
      <c r="AJ3" s="1332"/>
      <c r="AK3" s="1332"/>
      <c r="AL3" s="1333"/>
      <c r="AM3" s="782" t="s">
        <v>1463</v>
      </c>
      <c r="AO3" s="79"/>
      <c r="AP3" s="79" t="str">
        <f t="shared" si="0"/>
        <v>Территория действия тарифа</v>
      </c>
      <c r="AQ3" s="79"/>
      <c r="AR3" s="79"/>
    </row>
    <row r="4" spans="1:44" ht="23.25" hidden="1" customHeight="1">
      <c r="A4" s="822"/>
      <c r="B4" s="822"/>
      <c r="C4" s="822"/>
      <c r="D4" s="822"/>
      <c r="E4" s="1338"/>
      <c r="F4" s="1338"/>
      <c r="G4" s="1337">
        <v>1</v>
      </c>
      <c r="H4" s="822"/>
      <c r="I4" s="822"/>
      <c r="J4" s="822"/>
      <c r="K4" s="822"/>
      <c r="L4" s="823"/>
      <c r="M4" s="452"/>
      <c r="N4" s="452"/>
      <c r="O4" s="452"/>
      <c r="P4" s="219"/>
      <c r="Q4" s="217"/>
      <c r="R4" s="218"/>
      <c r="S4" s="755" t="e">
        <f>INDEX(PT_DIFFERENTIATION_NUM_CS,MATCH(C4,PT_DIFFERENTIATION_CS_ID,0))</f>
        <v>#N/A</v>
      </c>
      <c r="T4" s="188" t="s">
        <v>1464</v>
      </c>
      <c r="U4" s="179"/>
      <c r="V4" s="1331"/>
      <c r="W4" s="1332"/>
      <c r="X4" s="1332"/>
      <c r="Y4" s="1332"/>
      <c r="Z4" s="1332"/>
      <c r="AA4" s="1332"/>
      <c r="AB4" s="1332"/>
      <c r="AC4" s="1333"/>
      <c r="AD4" s="1331" t="e">
        <f>INDEX(PT_DIFFERENTIATION_CS,MATCH(C4,PT_DIFFERENTIATION_CS_ID,0))</f>
        <v>#N/A</v>
      </c>
      <c r="AE4" s="1332"/>
      <c r="AF4" s="1332"/>
      <c r="AG4" s="1332"/>
      <c r="AH4" s="1332"/>
      <c r="AI4" s="1332"/>
      <c r="AJ4" s="1332"/>
      <c r="AK4" s="1332"/>
      <c r="AL4" s="1333"/>
      <c r="AM4" s="782" t="s">
        <v>1465</v>
      </c>
      <c r="AO4" s="79"/>
      <c r="AP4" s="79" t="str">
        <f t="shared" si="0"/>
        <v xml:space="preserve">Наименование системы теплоснабжения </v>
      </c>
      <c r="AQ4" s="79"/>
      <c r="AR4" s="79"/>
    </row>
    <row r="5" spans="1:44" ht="21" hidden="1" customHeight="1">
      <c r="A5" s="822"/>
      <c r="B5" s="822"/>
      <c r="C5" s="822"/>
      <c r="D5" s="822"/>
      <c r="E5" s="1338"/>
      <c r="F5" s="1338"/>
      <c r="G5" s="1338"/>
      <c r="H5" s="1337">
        <v>1</v>
      </c>
      <c r="I5" s="822"/>
      <c r="J5" s="822"/>
      <c r="K5" s="822"/>
      <c r="L5" s="823"/>
      <c r="M5" s="452"/>
      <c r="N5" s="452"/>
      <c r="O5" s="452"/>
      <c r="P5" s="219"/>
      <c r="Q5" s="217"/>
      <c r="R5" s="218"/>
      <c r="S5" s="755" t="e">
        <f>INDEX(PT_DIFFERENTIATION_NUM_IST_TE,MATCH(D5,PT_DIFFERENTIATION_IST_TE_ID,0))</f>
        <v>#N/A</v>
      </c>
      <c r="T5" s="189" t="s">
        <v>1466</v>
      </c>
      <c r="U5" s="179"/>
      <c r="V5" s="1331"/>
      <c r="W5" s="1332"/>
      <c r="X5" s="1332"/>
      <c r="Y5" s="1332"/>
      <c r="Z5" s="1332"/>
      <c r="AA5" s="1332"/>
      <c r="AB5" s="1332"/>
      <c r="AC5" s="1333"/>
      <c r="AD5" s="1331" t="e">
        <f>INDEX(PT_DIFFERENTIATION_IST_TE,MATCH(D5,PT_DIFFERENTIATION_IST_TE_ID,0))</f>
        <v>#N/A</v>
      </c>
      <c r="AE5" s="1332"/>
      <c r="AF5" s="1332"/>
      <c r="AG5" s="1332"/>
      <c r="AH5" s="1332"/>
      <c r="AI5" s="1332"/>
      <c r="AJ5" s="1332"/>
      <c r="AK5" s="1332"/>
      <c r="AL5" s="1333"/>
      <c r="AM5" s="782" t="s">
        <v>1467</v>
      </c>
      <c r="AO5" s="79"/>
      <c r="AP5" s="79" t="str">
        <f t="shared" si="0"/>
        <v xml:space="preserve">Источник тепловой энергии  </v>
      </c>
      <c r="AQ5" s="79"/>
      <c r="AR5" s="79"/>
    </row>
    <row r="6" spans="1:44" ht="14.25" hidden="1" customHeight="1">
      <c r="A6" s="822"/>
      <c r="B6" s="822"/>
      <c r="C6" s="822"/>
      <c r="D6" s="822"/>
      <c r="E6" s="1338"/>
      <c r="F6" s="1338"/>
      <c r="G6" s="1338"/>
      <c r="H6" s="1338"/>
      <c r="I6" s="1339" t="e">
        <f>S5&amp;".1"</f>
        <v>#N/A</v>
      </c>
      <c r="J6" s="822"/>
      <c r="K6" s="822"/>
      <c r="L6" s="823" t="s">
        <v>1468</v>
      </c>
      <c r="M6" s="72"/>
      <c r="P6" s="1259">
        <v>1</v>
      </c>
      <c r="Q6" s="127"/>
      <c r="R6" s="221"/>
      <c r="S6" s="389"/>
      <c r="T6" s="831"/>
      <c r="U6" s="832"/>
      <c r="V6" s="1365"/>
      <c r="W6" s="1366"/>
      <c r="X6" s="1366"/>
      <c r="Y6" s="1366"/>
      <c r="Z6" s="1366"/>
      <c r="AA6" s="1366"/>
      <c r="AB6" s="1366"/>
      <c r="AC6" s="1367"/>
      <c r="AD6" s="1365"/>
      <c r="AE6" s="1366"/>
      <c r="AF6" s="1366"/>
      <c r="AG6" s="1366"/>
      <c r="AH6" s="1366"/>
      <c r="AI6" s="1366"/>
      <c r="AJ6" s="1366"/>
      <c r="AK6" s="1366"/>
      <c r="AL6" s="1367"/>
      <c r="AM6" s="833"/>
      <c r="AO6" s="79"/>
      <c r="AP6" s="79" t="str">
        <f t="shared" si="0"/>
        <v/>
      </c>
      <c r="AQ6" s="79"/>
      <c r="AR6" s="79"/>
    </row>
    <row r="7" spans="1:44" ht="21" hidden="1" customHeight="1">
      <c r="A7" s="822"/>
      <c r="B7" s="822"/>
      <c r="C7" s="822"/>
      <c r="D7" s="822"/>
      <c r="E7" s="1338"/>
      <c r="F7" s="1338"/>
      <c r="G7" s="1338"/>
      <c r="H7" s="1338"/>
      <c r="I7" s="1340"/>
      <c r="J7" s="1339" t="e">
        <f>I6&amp;".1"</f>
        <v>#N/A</v>
      </c>
      <c r="K7" s="822"/>
      <c r="L7" s="823" t="s">
        <v>1471</v>
      </c>
      <c r="M7" s="72"/>
      <c r="N7" s="72"/>
      <c r="P7" s="1259"/>
      <c r="Q7" s="1259">
        <v>1</v>
      </c>
      <c r="R7" s="222"/>
      <c r="S7" s="755" t="e">
        <f>$J7</f>
        <v>#N/A</v>
      </c>
      <c r="T7" s="173" t="s">
        <v>1472</v>
      </c>
      <c r="U7" s="179"/>
      <c r="V7" s="1326"/>
      <c r="W7" s="1327"/>
      <c r="X7" s="1327"/>
      <c r="Y7" s="1327"/>
      <c r="Z7" s="1327"/>
      <c r="AA7" s="1327"/>
      <c r="AB7" s="1327"/>
      <c r="AC7" s="1328"/>
      <c r="AD7" s="1326"/>
      <c r="AE7" s="1327"/>
      <c r="AF7" s="1327"/>
      <c r="AG7" s="1327"/>
      <c r="AH7" s="1327"/>
      <c r="AI7" s="1327"/>
      <c r="AJ7" s="1327"/>
      <c r="AK7" s="1327"/>
      <c r="AL7" s="1328"/>
      <c r="AM7" s="782" t="s">
        <v>1473</v>
      </c>
      <c r="AO7" s="79"/>
      <c r="AP7" s="79" t="str">
        <f t="shared" si="0"/>
        <v>Группа потребителей</v>
      </c>
      <c r="AQ7" s="79"/>
      <c r="AR7" s="79"/>
    </row>
    <row r="8" spans="1:44" ht="21" hidden="1" customHeight="1">
      <c r="A8" s="822"/>
      <c r="B8" s="822"/>
      <c r="C8" s="822"/>
      <c r="D8" s="822"/>
      <c r="E8" s="1338"/>
      <c r="F8" s="1338"/>
      <c r="G8" s="1338"/>
      <c r="H8" s="1338"/>
      <c r="I8" s="1340"/>
      <c r="J8" s="1340"/>
      <c r="K8" s="1339" t="e">
        <f>J7&amp;".1"</f>
        <v>#N/A</v>
      </c>
      <c r="L8" s="823" t="s">
        <v>1474</v>
      </c>
      <c r="M8" s="72"/>
      <c r="N8" s="72"/>
      <c r="O8" s="72"/>
      <c r="P8" s="1259"/>
      <c r="Q8" s="1259"/>
      <c r="R8" s="222">
        <v>1</v>
      </c>
      <c r="S8" s="755" t="e">
        <f>$K8</f>
        <v>#N/A</v>
      </c>
      <c r="T8" s="821"/>
      <c r="U8" s="179"/>
      <c r="V8" s="1054"/>
      <c r="W8" s="1055"/>
      <c r="X8" s="1054"/>
      <c r="Y8" s="1056"/>
      <c r="Z8" s="1341"/>
      <c r="AA8" s="1133" t="s">
        <v>67</v>
      </c>
      <c r="AB8" s="1341"/>
      <c r="AC8" s="1133" t="s">
        <v>67</v>
      </c>
      <c r="AD8" s="1054"/>
      <c r="AE8" s="1055"/>
      <c r="AF8" s="1054"/>
      <c r="AG8" s="1056"/>
      <c r="AH8" s="1341"/>
      <c r="AI8" s="1133" t="s">
        <v>67</v>
      </c>
      <c r="AJ8" s="1341"/>
      <c r="AK8" s="1133" t="s">
        <v>67</v>
      </c>
      <c r="AL8" s="1055"/>
      <c r="AM8" s="1359" t="s">
        <v>1475</v>
      </c>
      <c r="AN8" s="77" t="e">
        <f ca="1">STRCHECKDATE(V9:AL9)</f>
        <v>#NAME?</v>
      </c>
      <c r="AO8" s="79"/>
      <c r="AP8" s="79" t="str">
        <f t="shared" si="0"/>
        <v/>
      </c>
      <c r="AQ8" s="79"/>
      <c r="AR8" s="79"/>
    </row>
    <row r="9" spans="1:44" ht="0.75" hidden="1" customHeight="1">
      <c r="A9" s="822"/>
      <c r="B9" s="822"/>
      <c r="C9" s="822"/>
      <c r="D9" s="822"/>
      <c r="E9" s="1338"/>
      <c r="F9" s="1338"/>
      <c r="G9" s="1338"/>
      <c r="H9" s="1338"/>
      <c r="I9" s="1340"/>
      <c r="J9" s="1340"/>
      <c r="K9" s="1339"/>
      <c r="L9" s="823"/>
      <c r="M9" s="72"/>
      <c r="N9" s="72"/>
      <c r="O9" s="72"/>
      <c r="P9" s="1259"/>
      <c r="Q9" s="1259"/>
      <c r="R9" s="222"/>
      <c r="S9" s="74"/>
      <c r="T9" s="179"/>
      <c r="U9" s="179"/>
      <c r="V9" s="1055"/>
      <c r="W9" s="1055"/>
      <c r="X9" s="1055"/>
      <c r="Y9" s="1057" t="str">
        <f>Z8&amp;"-"&amp;AB8</f>
        <v>-</v>
      </c>
      <c r="Z9" s="1342"/>
      <c r="AA9" s="1133"/>
      <c r="AB9" s="1342"/>
      <c r="AC9" s="1133"/>
      <c r="AD9" s="1055"/>
      <c r="AE9" s="1055"/>
      <c r="AF9" s="1055"/>
      <c r="AG9" s="1057" t="str">
        <f>AH8&amp;"-"&amp;AJ8</f>
        <v>-</v>
      </c>
      <c r="AH9" s="1342"/>
      <c r="AI9" s="1133"/>
      <c r="AJ9" s="1342"/>
      <c r="AK9" s="1133"/>
      <c r="AL9" s="1055"/>
      <c r="AM9" s="1360"/>
      <c r="AO9" s="79"/>
      <c r="AP9" s="79" t="str">
        <f t="shared" si="0"/>
        <v/>
      </c>
      <c r="AQ9" s="79"/>
      <c r="AR9" s="79"/>
    </row>
    <row r="10" spans="1:44" ht="15" hidden="1" customHeight="1">
      <c r="A10" s="822"/>
      <c r="B10" s="822"/>
      <c r="C10" s="822"/>
      <c r="D10" s="822"/>
      <c r="E10" s="1338"/>
      <c r="F10" s="1338"/>
      <c r="G10" s="1338"/>
      <c r="H10" s="1338"/>
      <c r="I10" s="1340"/>
      <c r="J10" s="1339"/>
      <c r="K10" s="822"/>
      <c r="L10" s="823"/>
      <c r="M10" s="72"/>
      <c r="N10" s="72"/>
      <c r="P10" s="1259"/>
      <c r="Q10" s="1259"/>
      <c r="R10" s="221"/>
      <c r="S10" s="796"/>
      <c r="T10" s="174" t="s">
        <v>1476</v>
      </c>
      <c r="U10" s="228"/>
      <c r="V10" s="228"/>
      <c r="W10" s="228"/>
      <c r="X10" s="228"/>
      <c r="Y10" s="228"/>
      <c r="Z10" s="228"/>
      <c r="AA10" s="228"/>
      <c r="AB10" s="228"/>
      <c r="AC10" s="228"/>
      <c r="AD10" s="228"/>
      <c r="AE10" s="228"/>
      <c r="AF10" s="228"/>
      <c r="AG10" s="228"/>
      <c r="AH10" s="228"/>
      <c r="AI10" s="228"/>
      <c r="AJ10" s="228"/>
      <c r="AK10" s="228"/>
      <c r="AL10" s="204"/>
      <c r="AM10" s="1361"/>
      <c r="AO10" s="79"/>
      <c r="AP10" s="79" t="str">
        <f t="shared" si="0"/>
        <v>Добавить вид теплоносителя (параметры теплоносителя)</v>
      </c>
      <c r="AQ10" s="79"/>
      <c r="AR10" s="79"/>
    </row>
    <row r="11" spans="1:44" ht="15" hidden="1" customHeight="1">
      <c r="A11" s="822"/>
      <c r="B11" s="822"/>
      <c r="C11" s="822"/>
      <c r="D11" s="822"/>
      <c r="E11" s="1338"/>
      <c r="F11" s="1338"/>
      <c r="G11" s="1338"/>
      <c r="H11" s="1338"/>
      <c r="I11" s="1339"/>
      <c r="J11" s="822"/>
      <c r="K11" s="822"/>
      <c r="L11" s="823"/>
      <c r="M11" s="72"/>
      <c r="P11" s="1259"/>
      <c r="Q11" s="127"/>
      <c r="R11" s="221"/>
      <c r="S11" s="796"/>
      <c r="T11" s="226" t="s">
        <v>1477</v>
      </c>
      <c r="U11" s="228"/>
      <c r="V11" s="228"/>
      <c r="W11" s="228"/>
      <c r="X11" s="228"/>
      <c r="Y11" s="228"/>
      <c r="Z11" s="228"/>
      <c r="AA11" s="228"/>
      <c r="AB11" s="228"/>
      <c r="AC11" s="205"/>
      <c r="AD11" s="228"/>
      <c r="AE11" s="228"/>
      <c r="AF11" s="228"/>
      <c r="AG11" s="228"/>
      <c r="AH11" s="228"/>
      <c r="AI11" s="228"/>
      <c r="AJ11" s="228"/>
      <c r="AK11" s="205"/>
      <c r="AL11" s="228"/>
      <c r="AM11" s="182"/>
      <c r="AO11" s="79"/>
      <c r="AP11" s="79" t="str">
        <f t="shared" si="0"/>
        <v>Добавить группу потребителей</v>
      </c>
      <c r="AQ11" s="79"/>
      <c r="AR11" s="79"/>
    </row>
    <row r="12" spans="1:44" ht="14.25" hidden="1" customHeight="1">
      <c r="A12" s="822"/>
      <c r="B12" s="822"/>
      <c r="C12" s="822"/>
      <c r="D12" s="822"/>
      <c r="E12" s="1338"/>
      <c r="F12" s="1338"/>
      <c r="G12" s="1338"/>
      <c r="H12" s="1337"/>
      <c r="I12" s="822"/>
      <c r="J12" s="822"/>
      <c r="K12" s="822"/>
      <c r="L12" s="823"/>
      <c r="M12" s="452"/>
      <c r="N12" s="452"/>
      <c r="O12" s="72"/>
      <c r="P12" s="43"/>
      <c r="Q12" s="231"/>
      <c r="R12" s="220"/>
      <c r="S12" s="834"/>
      <c r="T12" s="835"/>
      <c r="U12" s="836"/>
      <c r="V12" s="836"/>
      <c r="W12" s="836"/>
      <c r="X12" s="836"/>
      <c r="Y12" s="836"/>
      <c r="Z12" s="836"/>
      <c r="AA12" s="836"/>
      <c r="AB12" s="836"/>
      <c r="AC12" s="836"/>
      <c r="AD12" s="836"/>
      <c r="AE12" s="836"/>
      <c r="AF12" s="836"/>
      <c r="AG12" s="836"/>
      <c r="AH12" s="836"/>
      <c r="AI12" s="836"/>
      <c r="AJ12" s="836"/>
      <c r="AK12" s="836"/>
      <c r="AL12" s="836"/>
      <c r="AM12" s="837"/>
      <c r="AO12" s="79"/>
      <c r="AP12" s="79" t="str">
        <f t="shared" si="0"/>
        <v/>
      </c>
      <c r="AQ12" s="79"/>
      <c r="AR12" s="79"/>
    </row>
    <row r="13" spans="1:44" s="77" customFormat="1" ht="0.75" hidden="1" customHeight="1">
      <c r="A13" s="150"/>
      <c r="B13" s="150"/>
      <c r="C13" s="150"/>
      <c r="D13" s="150"/>
      <c r="E13" s="1338"/>
      <c r="F13" s="1338"/>
      <c r="G13" s="1337"/>
      <c r="H13" s="150"/>
      <c r="I13" s="150"/>
      <c r="J13" s="150"/>
      <c r="K13" s="150"/>
      <c r="L13" s="373"/>
      <c r="M13" s="318"/>
      <c r="N13" s="318"/>
      <c r="P13" s="111"/>
      <c r="Q13" s="811"/>
      <c r="R13" s="111"/>
      <c r="S13" s="812"/>
      <c r="T13" s="813" t="s">
        <v>1437</v>
      </c>
      <c r="U13" s="814"/>
      <c r="V13" s="814"/>
      <c r="W13" s="814"/>
      <c r="X13" s="814"/>
      <c r="Y13" s="814"/>
      <c r="Z13" s="814"/>
      <c r="AA13" s="814"/>
      <c r="AB13" s="814"/>
      <c r="AC13" s="814"/>
      <c r="AD13" s="814"/>
      <c r="AE13" s="814"/>
      <c r="AF13" s="814"/>
      <c r="AG13" s="814"/>
      <c r="AH13" s="814"/>
      <c r="AI13" s="814"/>
      <c r="AJ13" s="814"/>
      <c r="AK13" s="814"/>
      <c r="AL13" s="814"/>
      <c r="AM13" s="814"/>
      <c r="AO13" s="79"/>
      <c r="AP13" s="79" t="str">
        <f t="shared" si="0"/>
        <v>Добавить источник для дифференциации</v>
      </c>
      <c r="AQ13" s="79"/>
      <c r="AR13" s="79"/>
    </row>
    <row r="14" spans="1:44" s="77" customFormat="1" ht="0.75" hidden="1" customHeight="1">
      <c r="A14" s="150"/>
      <c r="B14" s="150"/>
      <c r="C14" s="150"/>
      <c r="D14" s="150"/>
      <c r="E14" s="1338"/>
      <c r="F14" s="1337"/>
      <c r="G14" s="150"/>
      <c r="H14" s="150"/>
      <c r="I14" s="150"/>
      <c r="J14" s="150"/>
      <c r="K14" s="150"/>
      <c r="L14" s="373"/>
      <c r="M14" s="815"/>
      <c r="N14" s="815"/>
      <c r="P14" s="111"/>
      <c r="Q14" s="811"/>
      <c r="R14" s="111"/>
      <c r="S14" s="816"/>
      <c r="T14" s="817" t="s">
        <v>1438</v>
      </c>
      <c r="U14" s="338"/>
      <c r="V14" s="338"/>
      <c r="W14" s="338"/>
      <c r="X14" s="338"/>
      <c r="Y14" s="338"/>
      <c r="Z14" s="338"/>
      <c r="AA14" s="338"/>
      <c r="AB14" s="338"/>
      <c r="AC14" s="338"/>
      <c r="AD14" s="338"/>
      <c r="AE14" s="338"/>
      <c r="AF14" s="338"/>
      <c r="AG14" s="338"/>
      <c r="AH14" s="338"/>
      <c r="AI14" s="338"/>
      <c r="AJ14" s="338"/>
      <c r="AK14" s="338"/>
      <c r="AL14" s="338"/>
      <c r="AM14" s="338"/>
      <c r="AO14" s="79"/>
      <c r="AP14" s="79" t="str">
        <f t="shared" si="0"/>
        <v>Добавить централизованную систему для дифференциации</v>
      </c>
      <c r="AQ14" s="79"/>
      <c r="AR14" s="79"/>
    </row>
    <row r="15" spans="1:44" s="77" customFormat="1" ht="0.75" hidden="1" customHeight="1">
      <c r="A15" s="150"/>
      <c r="B15" s="150"/>
      <c r="C15" s="150"/>
      <c r="D15" s="150"/>
      <c r="E15" s="1337"/>
      <c r="F15" s="150"/>
      <c r="G15" s="150"/>
      <c r="H15" s="150"/>
      <c r="I15" s="150"/>
      <c r="J15" s="150"/>
      <c r="K15" s="150"/>
      <c r="L15" s="373"/>
      <c r="M15" s="815"/>
      <c r="N15" s="815"/>
      <c r="P15" s="111"/>
      <c r="Q15" s="811"/>
      <c r="R15" s="111"/>
      <c r="S15" s="816"/>
      <c r="T15" s="818" t="s">
        <v>1439</v>
      </c>
      <c r="U15" s="338"/>
      <c r="V15" s="338"/>
      <c r="W15" s="338"/>
      <c r="X15" s="338"/>
      <c r="Y15" s="338"/>
      <c r="Z15" s="338"/>
      <c r="AA15" s="338"/>
      <c r="AB15" s="338"/>
      <c r="AC15" s="338"/>
      <c r="AD15" s="338"/>
      <c r="AE15" s="338"/>
      <c r="AF15" s="338"/>
      <c r="AG15" s="338"/>
      <c r="AH15" s="338"/>
      <c r="AI15" s="338"/>
      <c r="AJ15" s="338"/>
      <c r="AK15" s="338"/>
      <c r="AL15" s="338"/>
      <c r="AM15" s="338"/>
      <c r="AO15" s="79"/>
      <c r="AP15" s="79" t="str">
        <f t="shared" si="0"/>
        <v>Добавить территорию для дифференциации</v>
      </c>
      <c r="AQ15" s="79"/>
      <c r="AR15" s="79"/>
    </row>
    <row r="16" spans="1:44" ht="14.25" hidden="1" customHeight="1"/>
    <row r="17" spans="1:44" ht="14.25" hidden="1" customHeight="1">
      <c r="AD17" s="1058"/>
      <c r="AE17" s="1058"/>
      <c r="AF17" s="1058"/>
      <c r="AG17" s="1059"/>
      <c r="AH17" s="1335"/>
      <c r="AI17" s="1334" t="s">
        <v>67</v>
      </c>
      <c r="AJ17" s="1335"/>
      <c r="AK17" s="1334" t="s">
        <v>67</v>
      </c>
    </row>
    <row r="18" spans="1:44" ht="14.25" hidden="1" customHeight="1">
      <c r="AD18" s="1058"/>
      <c r="AE18" s="1058"/>
      <c r="AF18" s="1058"/>
      <c r="AG18" s="1057" t="str">
        <f>AH17&amp;"-"&amp;AJ17</f>
        <v>-</v>
      </c>
      <c r="AH18" s="1334"/>
      <c r="AI18" s="1334"/>
      <c r="AJ18" s="1334"/>
      <c r="AK18" s="1334"/>
    </row>
    <row r="19" spans="1:44" ht="14.25" hidden="1" customHeight="1"/>
    <row r="20" spans="1:44" s="72" customFormat="1" ht="22.5" hidden="1" customHeight="1">
      <c r="L20" s="388"/>
      <c r="M20" s="541"/>
      <c r="N20" s="541"/>
      <c r="O20" s="824" t="s">
        <v>1479</v>
      </c>
      <c r="P20" s="541"/>
      <c r="Q20" s="825"/>
      <c r="R20" s="825"/>
      <c r="S20" s="452"/>
      <c r="Z20" s="824"/>
      <c r="AB20" s="824"/>
      <c r="AH20" s="824"/>
      <c r="AJ20" s="824"/>
      <c r="AN20" s="77"/>
      <c r="AO20" s="77"/>
      <c r="AP20" s="77"/>
      <c r="AQ20" s="77"/>
      <c r="AR20" s="77"/>
    </row>
    <row r="21" spans="1:44" s="72" customFormat="1" ht="14.25" hidden="1" customHeight="1">
      <c r="L21" s="388"/>
      <c r="M21" s="541"/>
      <c r="N21" s="541"/>
      <c r="O21" s="541"/>
      <c r="P21" s="541"/>
      <c r="Q21" s="825"/>
      <c r="R21" s="825"/>
      <c r="S21" s="452"/>
      <c r="AN21" s="77"/>
      <c r="AO21" s="77"/>
      <c r="AP21" s="77"/>
      <c r="AQ21" s="77"/>
      <c r="AR21" s="77"/>
    </row>
    <row r="22" spans="1:44" s="72" customFormat="1" ht="14.25" hidden="1" customHeight="1">
      <c r="L22" s="388"/>
      <c r="M22" s="541"/>
      <c r="N22" s="541"/>
      <c r="O22" s="823" t="s">
        <v>1480</v>
      </c>
      <c r="P22" s="541"/>
      <c r="Q22" s="825"/>
      <c r="R22" s="825"/>
      <c r="S22" s="452"/>
      <c r="T22" s="72" t="s">
        <v>1481</v>
      </c>
      <c r="AA22" s="91" t="s">
        <v>1482</v>
      </c>
      <c r="AC22" s="91" t="s">
        <v>1483</v>
      </c>
      <c r="AD22" s="72" t="s">
        <v>1481</v>
      </c>
      <c r="AI22" s="91" t="s">
        <v>1484</v>
      </c>
      <c r="AK22" s="91" t="s">
        <v>1483</v>
      </c>
      <c r="AN22" s="77"/>
      <c r="AO22" s="77"/>
      <c r="AP22" s="77"/>
      <c r="AQ22" s="77"/>
      <c r="AR22" s="77"/>
    </row>
    <row r="23" spans="1:44" ht="14.25" hidden="1" customHeight="1">
      <c r="O23" s="823"/>
    </row>
    <row r="24" spans="1:44" ht="14.25" hidden="1" customHeight="1">
      <c r="O24" s="823"/>
    </row>
    <row r="25" spans="1:44" ht="14.25" customHeight="1">
      <c r="Q25" s="36"/>
      <c r="R25" s="36"/>
      <c r="S25" s="793"/>
      <c r="T25" s="25"/>
      <c r="U25" s="25"/>
    </row>
    <row r="26" spans="1:44" ht="64.5" customHeight="1">
      <c r="Q26" s="36"/>
      <c r="R26" s="36"/>
      <c r="S26" s="1181" t="str">
        <f>IF(TEMPLATE_GROUP="P",PT_P_FORM_HEAT_5_NAME_FORM,PT_R_FORM_HEAT_22_NAME_FORM)</f>
        <v>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v>
      </c>
      <c r="T26" s="1181"/>
      <c r="U26" s="1181"/>
      <c r="V26" s="1181"/>
      <c r="W26" s="1181"/>
      <c r="X26" s="1181"/>
      <c r="Y26" s="1181"/>
      <c r="Z26" s="1181"/>
      <c r="AA26" s="1181"/>
      <c r="AB26" s="1181"/>
      <c r="AC26" s="1181"/>
      <c r="AD26" s="1181"/>
      <c r="AE26" s="1181"/>
      <c r="AF26" s="1181"/>
      <c r="AG26" s="1181"/>
      <c r="AH26" s="1181"/>
      <c r="AI26" s="1181"/>
      <c r="AJ26" s="1181"/>
      <c r="AK26" s="69"/>
    </row>
    <row r="27" spans="1:44" ht="14.25" customHeight="1">
      <c r="Q27" s="36"/>
      <c r="R27" s="36"/>
      <c r="S27" s="1204" t="str">
        <f>IF(org=0,"Не определено",org)</f>
        <v>ООО "ТЕПЛО ПЛЮС"</v>
      </c>
      <c r="T27" s="1204"/>
      <c r="U27" s="1204"/>
      <c r="V27" s="1204"/>
      <c r="W27" s="1204"/>
      <c r="X27" s="1204"/>
      <c r="Y27" s="1204"/>
      <c r="Z27" s="1204"/>
      <c r="AA27" s="1204"/>
      <c r="AB27" s="1204"/>
      <c r="AC27" s="1204"/>
      <c r="AD27" s="1204"/>
      <c r="AE27" s="1204"/>
      <c r="AF27" s="1204"/>
      <c r="AG27" s="1204"/>
      <c r="AH27" s="1204"/>
      <c r="AI27" s="1204"/>
      <c r="AJ27" s="1204"/>
      <c r="AK27" s="69"/>
    </row>
    <row r="28" spans="1:44" ht="14.25" hidden="1" customHeight="1">
      <c r="Q28" s="36"/>
      <c r="R28" s="36"/>
      <c r="S28" s="793"/>
      <c r="T28" s="25"/>
      <c r="U28" s="25"/>
      <c r="V28" s="202"/>
      <c r="W28" s="202"/>
      <c r="X28" s="202"/>
      <c r="Y28" s="202"/>
      <c r="Z28" s="202"/>
      <c r="AA28" s="202"/>
      <c r="AB28" s="202"/>
      <c r="AC28" s="202"/>
      <c r="AD28" s="202"/>
      <c r="AE28" s="202"/>
      <c r="AF28" s="202"/>
      <c r="AG28" s="202"/>
      <c r="AH28" s="202"/>
      <c r="AI28" s="202"/>
      <c r="AJ28" s="202"/>
      <c r="AK28" s="202"/>
    </row>
    <row r="29" spans="1:44" s="44" customFormat="1" ht="25.5" hidden="1" customHeight="1">
      <c r="A29" s="91"/>
      <c r="B29" s="91"/>
      <c r="C29" s="91"/>
      <c r="D29" s="91"/>
      <c r="E29" s="91"/>
      <c r="F29" s="91"/>
      <c r="G29" s="91"/>
      <c r="H29" s="91"/>
      <c r="I29" s="91"/>
      <c r="J29" s="91"/>
      <c r="K29" s="91"/>
      <c r="L29" s="823"/>
      <c r="M29" s="91"/>
      <c r="N29" s="91"/>
      <c r="O29" s="91"/>
      <c r="S29" s="1329" t="s">
        <v>39</v>
      </c>
      <c r="T29" s="1329"/>
      <c r="U29" s="826"/>
      <c r="V29" s="1330" t="str">
        <f>IF(TITLE_NAME_OR_PR_CHANGE="",IF(TITLE_NAME_OR_PR="","",TITLE_NAME_OR_PR),TITLE_NAME_OR_PR_CHANGE)</f>
        <v/>
      </c>
      <c r="W29" s="1330"/>
      <c r="X29" s="1330"/>
      <c r="Y29" s="1330"/>
      <c r="Z29" s="1330"/>
      <c r="AA29" s="1330"/>
      <c r="AB29" s="1330"/>
      <c r="AC29" s="24"/>
      <c r="AD29" s="1330" t="str">
        <f>IF(TITLE_NAME_OR_PR_CHANGE="",IF(TITLE_NAME_OR_PR="","",TITLE_NAME_OR_PR),TITLE_NAME_OR_PR_CHANGE)</f>
        <v/>
      </c>
      <c r="AE29" s="1330"/>
      <c r="AF29" s="1330"/>
      <c r="AG29" s="1330"/>
      <c r="AH29" s="1330"/>
      <c r="AI29" s="1330"/>
      <c r="AJ29" s="1330"/>
      <c r="AK29" s="24"/>
      <c r="AL29" s="24"/>
      <c r="AM29" s="171"/>
      <c r="AN29" s="79"/>
      <c r="AO29" s="79"/>
      <c r="AP29" s="79"/>
      <c r="AQ29" s="79"/>
      <c r="AR29" s="79"/>
    </row>
    <row r="30" spans="1:44" s="44" customFormat="1" ht="18.75" hidden="1" customHeight="1">
      <c r="A30" s="91"/>
      <c r="B30" s="91"/>
      <c r="C30" s="91"/>
      <c r="D30" s="91"/>
      <c r="E30" s="91"/>
      <c r="F30" s="91"/>
      <c r="G30" s="91"/>
      <c r="H30" s="91"/>
      <c r="I30" s="91"/>
      <c r="J30" s="91"/>
      <c r="K30" s="91"/>
      <c r="L30" s="823"/>
      <c r="M30" s="91"/>
      <c r="N30" s="91"/>
      <c r="O30" s="91"/>
      <c r="S30" s="1329" t="s">
        <v>1485</v>
      </c>
      <c r="T30" s="1329"/>
      <c r="U30" s="826"/>
      <c r="V30" s="1330" t="str">
        <f>IF(TITLE_DATE_CHANGE_PERIOD="",IF(TITLE_DATE_PR="","",TITLE_DATE_PR),TITLE_DATE_CHANGE_PERIOD)</f>
        <v/>
      </c>
      <c r="W30" s="1330"/>
      <c r="X30" s="1330"/>
      <c r="Y30" s="1330"/>
      <c r="Z30" s="1330"/>
      <c r="AA30" s="1330"/>
      <c r="AB30" s="1330"/>
      <c r="AC30" s="24"/>
      <c r="AD30" s="1330" t="str">
        <f>IF(TITLE_DATE_CHANGE_PERIOD="",IF(TITLE_DATE_PR="","",TITLE_DATE_PR),TITLE_DATE_CHANGE_PERIOD)</f>
        <v/>
      </c>
      <c r="AE30" s="1330"/>
      <c r="AF30" s="1330"/>
      <c r="AG30" s="1330"/>
      <c r="AH30" s="1330"/>
      <c r="AI30" s="1330"/>
      <c r="AJ30" s="1330"/>
      <c r="AK30" s="24"/>
      <c r="AL30" s="24"/>
      <c r="AM30" s="171"/>
      <c r="AN30" s="79"/>
      <c r="AO30" s="79"/>
      <c r="AP30" s="79"/>
      <c r="AQ30" s="79"/>
      <c r="AR30" s="79"/>
    </row>
    <row r="31" spans="1:44" s="44" customFormat="1" ht="18.75" hidden="1" customHeight="1">
      <c r="A31" s="91"/>
      <c r="B31" s="91"/>
      <c r="C31" s="91"/>
      <c r="D31" s="91"/>
      <c r="E31" s="91"/>
      <c r="F31" s="91"/>
      <c r="G31" s="91"/>
      <c r="H31" s="91"/>
      <c r="I31" s="91"/>
      <c r="J31" s="91"/>
      <c r="K31" s="91"/>
      <c r="L31" s="823"/>
      <c r="M31" s="91"/>
      <c r="N31" s="91"/>
      <c r="O31" s="91"/>
      <c r="S31" s="1329" t="s">
        <v>1486</v>
      </c>
      <c r="T31" s="1329"/>
      <c r="U31" s="826"/>
      <c r="V31" s="1330" t="str">
        <f>IF(TITLE_NUMBER_PR_CHANGE="",IF(TITLE_NUMBER_PR="","",TITLE_NUMBER_PR),TITLE_NUMBER_PR_CHANGE)</f>
        <v/>
      </c>
      <c r="W31" s="1330"/>
      <c r="X31" s="1330"/>
      <c r="Y31" s="1330"/>
      <c r="Z31" s="1330"/>
      <c r="AA31" s="1330"/>
      <c r="AB31" s="1330"/>
      <c r="AC31" s="24"/>
      <c r="AD31" s="1330" t="str">
        <f>IF(TITLE_NUMBER_PR_CHANGE="",IF(TITLE_NUMBER_PR="","",TITLE_NUMBER_PR),TITLE_NUMBER_PR_CHANGE)</f>
        <v/>
      </c>
      <c r="AE31" s="1330"/>
      <c r="AF31" s="1330"/>
      <c r="AG31" s="1330"/>
      <c r="AH31" s="1330"/>
      <c r="AI31" s="1330"/>
      <c r="AJ31" s="1330"/>
      <c r="AK31" s="24"/>
      <c r="AL31" s="24"/>
      <c r="AM31" s="171"/>
      <c r="AN31" s="79"/>
      <c r="AO31" s="79"/>
      <c r="AP31" s="79"/>
      <c r="AQ31" s="79"/>
      <c r="AR31" s="79"/>
    </row>
    <row r="32" spans="1:44" s="44" customFormat="1" ht="18.75" hidden="1" customHeight="1">
      <c r="A32" s="91"/>
      <c r="B32" s="91"/>
      <c r="C32" s="91"/>
      <c r="D32" s="91"/>
      <c r="E32" s="91"/>
      <c r="F32" s="91"/>
      <c r="G32" s="91"/>
      <c r="H32" s="91"/>
      <c r="I32" s="91"/>
      <c r="J32" s="91"/>
      <c r="K32" s="91"/>
      <c r="L32" s="823"/>
      <c r="M32" s="91"/>
      <c r="N32" s="91"/>
      <c r="O32" s="91"/>
      <c r="S32" s="1329" t="s">
        <v>40</v>
      </c>
      <c r="T32" s="1329"/>
      <c r="U32" s="826"/>
      <c r="V32" s="1330" t="str">
        <f>IF(TITLE_IST_PUB_CHANGE="",IF(TITLE_IST_PUB="","",TITLE_IST_PUB),TITLE_IST_PUB_CHANGE)</f>
        <v/>
      </c>
      <c r="W32" s="1330"/>
      <c r="X32" s="1330"/>
      <c r="Y32" s="1330"/>
      <c r="Z32" s="1330"/>
      <c r="AA32" s="1330"/>
      <c r="AB32" s="1330"/>
      <c r="AC32" s="24"/>
      <c r="AD32" s="1330" t="str">
        <f>IF(TITLE_IST_PUB_CHANGE="",IF(TITLE_IST_PUB="","",TITLE_IST_PUB),TITLE_IST_PUB_CHANGE)</f>
        <v/>
      </c>
      <c r="AE32" s="1330"/>
      <c r="AF32" s="1330"/>
      <c r="AG32" s="1330"/>
      <c r="AH32" s="1330"/>
      <c r="AI32" s="1330"/>
      <c r="AJ32" s="1330"/>
      <c r="AK32" s="24"/>
      <c r="AL32" s="24"/>
      <c r="AM32" s="171"/>
      <c r="AN32" s="79"/>
      <c r="AO32" s="79"/>
      <c r="AP32" s="79"/>
      <c r="AQ32" s="79"/>
      <c r="AR32" s="79"/>
    </row>
    <row r="33" spans="1:44" ht="14.25" hidden="1" customHeight="1">
      <c r="Q33" s="36"/>
      <c r="R33" s="36"/>
      <c r="S33" s="793"/>
      <c r="T33" s="25"/>
      <c r="U33" s="25"/>
      <c r="V33" s="202"/>
      <c r="W33" s="202"/>
      <c r="X33" s="202"/>
      <c r="Y33" s="202"/>
      <c r="Z33" s="202"/>
      <c r="AA33" s="202"/>
      <c r="AB33" s="202"/>
      <c r="AC33" s="202"/>
      <c r="AD33" s="202"/>
      <c r="AE33" s="202"/>
      <c r="AF33" s="202"/>
      <c r="AG33" s="202"/>
      <c r="AH33" s="202"/>
      <c r="AI33" s="202"/>
      <c r="AJ33" s="202"/>
      <c r="AK33" s="202"/>
    </row>
    <row r="34" spans="1:44" s="44" customFormat="1" ht="18.75" hidden="1" customHeight="1">
      <c r="A34" s="91"/>
      <c r="B34" s="91"/>
      <c r="C34" s="91"/>
      <c r="D34" s="91"/>
      <c r="E34" s="91"/>
      <c r="F34" s="91"/>
      <c r="G34" s="91"/>
      <c r="H34" s="91"/>
      <c r="I34" s="91"/>
      <c r="J34" s="91"/>
      <c r="K34" s="91"/>
      <c r="L34" s="823"/>
      <c r="M34" s="91"/>
      <c r="N34" s="91"/>
      <c r="O34" s="91"/>
      <c r="S34" s="1329" t="s">
        <v>1487</v>
      </c>
      <c r="T34" s="1329"/>
      <c r="U34" s="826"/>
      <c r="V34" s="1330" t="str">
        <f>IF(TITLE_DATE_CHANGE_PERIOD="",IF(TITLE_DATE_PR="","",TITLE_DATE_PR),TITLE_DATE_CHANGE_PERIOD)</f>
        <v/>
      </c>
      <c r="W34" s="1330"/>
      <c r="X34" s="1330"/>
      <c r="Y34" s="1330"/>
      <c r="Z34" s="1330"/>
      <c r="AA34" s="1330"/>
      <c r="AB34" s="1330"/>
      <c r="AC34" s="24"/>
      <c r="AD34" s="1330" t="str">
        <f>IF(TITLE_DATE_CHANGE_PERIOD="",IF(TITLE_DATE_PR="","",TITLE_DATE_PR),TITLE_DATE_CHANGE_PERIOD)</f>
        <v/>
      </c>
      <c r="AE34" s="1330"/>
      <c r="AF34" s="1330"/>
      <c r="AG34" s="1330"/>
      <c r="AH34" s="1330"/>
      <c r="AI34" s="1330"/>
      <c r="AJ34" s="1330"/>
      <c r="AK34" s="24"/>
      <c r="AL34" s="24"/>
      <c r="AM34" s="171"/>
      <c r="AN34" s="79"/>
      <c r="AO34" s="79"/>
      <c r="AP34" s="79"/>
      <c r="AQ34" s="79"/>
      <c r="AR34" s="79"/>
    </row>
    <row r="35" spans="1:44" s="44" customFormat="1" ht="18.75" hidden="1" customHeight="1">
      <c r="A35" s="91"/>
      <c r="B35" s="91"/>
      <c r="C35" s="91"/>
      <c r="D35" s="91"/>
      <c r="E35" s="91"/>
      <c r="F35" s="91"/>
      <c r="G35" s="91"/>
      <c r="H35" s="91"/>
      <c r="I35" s="91"/>
      <c r="J35" s="91"/>
      <c r="K35" s="91"/>
      <c r="L35" s="823"/>
      <c r="M35" s="91"/>
      <c r="N35" s="91"/>
      <c r="O35" s="91"/>
      <c r="S35" s="1329" t="s">
        <v>1488</v>
      </c>
      <c r="T35" s="1329"/>
      <c r="U35" s="826"/>
      <c r="V35" s="1330" t="str">
        <f>IF(TITLE_NUMBER_PR_CHANGE="",IF(TITLE_NUMBER_PR="","",TITLE_NUMBER_PR),TITLE_NUMBER_PR_CHANGE)</f>
        <v/>
      </c>
      <c r="W35" s="1330"/>
      <c r="X35" s="1330"/>
      <c r="Y35" s="1330"/>
      <c r="Z35" s="1330"/>
      <c r="AA35" s="1330"/>
      <c r="AB35" s="1330"/>
      <c r="AC35" s="24"/>
      <c r="AD35" s="1330" t="str">
        <f>IF(TITLE_NUMBER_PR_CHANGE="",IF(TITLE_NUMBER_PR="","",TITLE_NUMBER_PR),TITLE_NUMBER_PR_CHANGE)</f>
        <v/>
      </c>
      <c r="AE35" s="1330"/>
      <c r="AF35" s="1330"/>
      <c r="AG35" s="1330"/>
      <c r="AH35" s="1330"/>
      <c r="AI35" s="1330"/>
      <c r="AJ35" s="1330"/>
      <c r="AK35" s="24"/>
      <c r="AL35" s="24"/>
      <c r="AM35" s="171"/>
      <c r="AN35" s="79"/>
      <c r="AO35" s="79"/>
      <c r="AP35" s="79"/>
      <c r="AQ35" s="79"/>
      <c r="AR35" s="79"/>
    </row>
    <row r="36" spans="1:44" s="44" customFormat="1" ht="0" hidden="1" customHeight="1">
      <c r="A36" s="91"/>
      <c r="B36" s="91"/>
      <c r="C36" s="91"/>
      <c r="D36" s="91"/>
      <c r="E36" s="91"/>
      <c r="F36" s="91"/>
      <c r="G36" s="91"/>
      <c r="H36" s="91"/>
      <c r="I36" s="91"/>
      <c r="J36" s="91"/>
      <c r="K36" s="91"/>
      <c r="L36" s="823"/>
      <c r="M36" s="91"/>
      <c r="N36" s="91"/>
      <c r="O36" s="91"/>
      <c r="S36" s="24"/>
      <c r="T36" s="24"/>
      <c r="U36" s="87"/>
      <c r="V36" s="24"/>
      <c r="W36" s="24"/>
      <c r="X36" s="24"/>
      <c r="Y36" s="24"/>
      <c r="Z36" s="24"/>
      <c r="AA36" s="24"/>
      <c r="AB36" s="24"/>
      <c r="AC36" s="77" t="s">
        <v>1489</v>
      </c>
      <c r="AD36" s="24"/>
      <c r="AE36" s="24"/>
      <c r="AF36" s="24"/>
      <c r="AG36" s="24"/>
      <c r="AH36" s="24"/>
      <c r="AI36" s="24"/>
      <c r="AJ36" s="24"/>
      <c r="AK36" s="77" t="s">
        <v>1489</v>
      </c>
      <c r="AN36" s="79"/>
      <c r="AO36" s="79"/>
      <c r="AP36" s="79"/>
      <c r="AQ36" s="79"/>
      <c r="AR36" s="79"/>
    </row>
    <row r="37" spans="1:44" ht="14.25" customHeight="1">
      <c r="Q37" s="36"/>
      <c r="R37" s="36"/>
      <c r="S37" s="793"/>
      <c r="T37" s="25"/>
      <c r="U37" s="766"/>
      <c r="V37" s="1348"/>
      <c r="W37" s="1348"/>
      <c r="X37" s="1348"/>
      <c r="Y37" s="1348"/>
      <c r="Z37" s="1348"/>
      <c r="AA37" s="1348"/>
      <c r="AB37" s="1348"/>
      <c r="AC37" s="1348"/>
      <c r="AD37" s="1348"/>
      <c r="AE37" s="1348"/>
      <c r="AF37" s="1348"/>
      <c r="AG37" s="1348"/>
      <c r="AH37" s="1348"/>
      <c r="AI37" s="1348"/>
      <c r="AJ37" s="1348"/>
      <c r="AK37" s="1348"/>
    </row>
    <row r="38" spans="1:44" ht="14.25" customHeight="1">
      <c r="Q38" s="36"/>
      <c r="R38" s="36"/>
      <c r="S38" s="1123" t="s">
        <v>292</v>
      </c>
      <c r="T38" s="1123"/>
      <c r="U38" s="1123"/>
      <c r="V38" s="1123"/>
      <c r="W38" s="1123"/>
      <c r="X38" s="1123"/>
      <c r="Y38" s="1123"/>
      <c r="Z38" s="1123"/>
      <c r="AA38" s="1123"/>
      <c r="AB38" s="1123"/>
      <c r="AC38" s="1123"/>
      <c r="AD38" s="1123"/>
      <c r="AE38" s="1123"/>
      <c r="AF38" s="1123"/>
      <c r="AG38" s="1123"/>
      <c r="AH38" s="1123"/>
      <c r="AI38" s="1123"/>
      <c r="AJ38" s="1123"/>
      <c r="AK38" s="1123"/>
      <c r="AL38" s="1123"/>
      <c r="AM38" s="1123" t="s">
        <v>293</v>
      </c>
    </row>
    <row r="39" spans="1:44" ht="14.25" customHeight="1">
      <c r="Q39" s="36"/>
      <c r="R39" s="36"/>
      <c r="S39" s="1349" t="s">
        <v>88</v>
      </c>
      <c r="T39" s="1213" t="s">
        <v>1490</v>
      </c>
      <c r="U39" s="180"/>
      <c r="V39" s="1350" t="s">
        <v>1491</v>
      </c>
      <c r="W39" s="1351"/>
      <c r="X39" s="1351"/>
      <c r="Y39" s="1351"/>
      <c r="Z39" s="1351"/>
      <c r="AA39" s="1351"/>
      <c r="AB39" s="1352"/>
      <c r="AC39" s="1353" t="s">
        <v>1492</v>
      </c>
      <c r="AD39" s="1350" t="s">
        <v>1491</v>
      </c>
      <c r="AE39" s="1351"/>
      <c r="AF39" s="1351"/>
      <c r="AG39" s="1351"/>
      <c r="AH39" s="1351"/>
      <c r="AI39" s="1351"/>
      <c r="AJ39" s="1352"/>
      <c r="AK39" s="1353" t="s">
        <v>1493</v>
      </c>
      <c r="AL39" s="1356" t="s">
        <v>1494</v>
      </c>
      <c r="AM39" s="1123"/>
    </row>
    <row r="40" spans="1:44" ht="33.75" customHeight="1">
      <c r="Q40" s="36"/>
      <c r="R40" s="36"/>
      <c r="S40" s="1349"/>
      <c r="T40" s="1213"/>
      <c r="U40" s="647"/>
      <c r="V40" s="1182" t="s">
        <v>1495</v>
      </c>
      <c r="W40" s="1345"/>
      <c r="X40" s="1105" t="s">
        <v>1497</v>
      </c>
      <c r="Y40" s="1104"/>
      <c r="Z40" s="1105" t="s">
        <v>1498</v>
      </c>
      <c r="AA40" s="1110"/>
      <c r="AB40" s="1104"/>
      <c r="AC40" s="1354"/>
      <c r="AD40" s="1182" t="s">
        <v>1495</v>
      </c>
      <c r="AE40" s="1345"/>
      <c r="AF40" s="1105" t="s">
        <v>1497</v>
      </c>
      <c r="AG40" s="1104"/>
      <c r="AH40" s="1105" t="s">
        <v>1498</v>
      </c>
      <c r="AI40" s="1110"/>
      <c r="AJ40" s="1104"/>
      <c r="AK40" s="1354"/>
      <c r="AL40" s="1357"/>
      <c r="AM40" s="1123"/>
    </row>
    <row r="41" spans="1:44" ht="33.75" customHeight="1">
      <c r="A41" s="91"/>
      <c r="B41" s="91" t="s">
        <v>136</v>
      </c>
      <c r="C41" s="91" t="s">
        <v>137</v>
      </c>
      <c r="D41" s="91" t="s">
        <v>138</v>
      </c>
      <c r="E41" s="823" t="s">
        <v>1499</v>
      </c>
      <c r="F41" s="823" t="s">
        <v>1500</v>
      </c>
      <c r="G41" s="823" t="s">
        <v>1501</v>
      </c>
      <c r="H41" s="823" t="s">
        <v>1502</v>
      </c>
      <c r="I41" s="823" t="s">
        <v>1503</v>
      </c>
      <c r="J41" s="823" t="s">
        <v>1504</v>
      </c>
      <c r="K41" s="823" t="s">
        <v>1505</v>
      </c>
      <c r="L41" s="823" t="s">
        <v>1480</v>
      </c>
      <c r="Q41" s="36"/>
      <c r="R41" s="36"/>
      <c r="S41" s="1349"/>
      <c r="T41" s="1213"/>
      <c r="U41" s="181"/>
      <c r="V41" s="1238"/>
      <c r="W41" s="1346"/>
      <c r="X41" s="48" t="s">
        <v>1506</v>
      </c>
      <c r="Y41" s="48" t="s">
        <v>1507</v>
      </c>
      <c r="Z41" s="48" t="s">
        <v>1508</v>
      </c>
      <c r="AA41" s="1219" t="s">
        <v>1509</v>
      </c>
      <c r="AB41" s="1233"/>
      <c r="AC41" s="1355"/>
      <c r="AD41" s="1238"/>
      <c r="AE41" s="1346"/>
      <c r="AF41" s="48" t="s">
        <v>1506</v>
      </c>
      <c r="AG41" s="48" t="s">
        <v>1507</v>
      </c>
      <c r="AH41" s="48" t="s">
        <v>1508</v>
      </c>
      <c r="AI41" s="1219" t="s">
        <v>1509</v>
      </c>
      <c r="AJ41" s="1233"/>
      <c r="AK41" s="1355"/>
      <c r="AL41" s="1358"/>
      <c r="AM41" s="1123"/>
    </row>
    <row r="42" spans="1:44" s="216" customFormat="1" ht="11.25" hidden="1" customHeight="1">
      <c r="A42" s="91"/>
      <c r="B42" s="91"/>
      <c r="C42" s="91"/>
      <c r="D42" s="91"/>
      <c r="E42" s="91"/>
      <c r="F42" s="91"/>
      <c r="G42" s="91"/>
      <c r="H42" s="91"/>
      <c r="I42" s="91"/>
      <c r="J42" s="91"/>
      <c r="K42" s="91"/>
      <c r="L42" s="823"/>
      <c r="M42" s="541"/>
      <c r="N42" s="541"/>
      <c r="O42" s="541"/>
      <c r="P42" s="768"/>
      <c r="Q42" s="769"/>
      <c r="R42" s="777">
        <v>1</v>
      </c>
      <c r="S42" s="795" t="s">
        <v>109</v>
      </c>
      <c r="T42" s="778" t="s">
        <v>110</v>
      </c>
      <c r="U42" s="767" t="str">
        <f ca="1">OFFSET(U42,0,-1)</f>
        <v>2</v>
      </c>
      <c r="V42" s="779">
        <f ca="1">OFFSET(V42,0,-1)+1</f>
        <v>3</v>
      </c>
      <c r="W42" s="779"/>
      <c r="X42" s="779">
        <f ca="1">OFFSET(X42,0,-1)+1</f>
        <v>1</v>
      </c>
      <c r="Y42" s="779">
        <f ca="1">OFFSET(Y42,0,-1)+1</f>
        <v>2</v>
      </c>
      <c r="Z42" s="779">
        <f ca="1">OFFSET(Z42,0,-1)+1</f>
        <v>3</v>
      </c>
      <c r="AA42" s="1347">
        <f ca="1">OFFSET(AA42,0,-1)+1</f>
        <v>4</v>
      </c>
      <c r="AB42" s="1347"/>
      <c r="AC42" s="779">
        <f ca="1">OFFSET(AC42,0,-2)+1</f>
        <v>5</v>
      </c>
      <c r="AD42" s="779">
        <f ca="1">OFFSET(AD42,0,-1)+1</f>
        <v>6</v>
      </c>
      <c r="AE42" s="779"/>
      <c r="AF42" s="779">
        <f ca="1">OFFSET(AF42,0,-1)+1</f>
        <v>1</v>
      </c>
      <c r="AG42" s="779">
        <f ca="1">OFFSET(AG42,0,-1)+1</f>
        <v>2</v>
      </c>
      <c r="AH42" s="779">
        <f ca="1">OFFSET(AH42,0,-1)+1</f>
        <v>3</v>
      </c>
      <c r="AI42" s="1347">
        <f ca="1">OFFSET(AI42,0,-1)+1</f>
        <v>4</v>
      </c>
      <c r="AJ42" s="1347"/>
      <c r="AK42" s="779">
        <f ca="1">OFFSET(AK42,0,-2)+1</f>
        <v>5</v>
      </c>
      <c r="AL42" s="767">
        <f ca="1">OFFSET(AL42,0,-1)</f>
        <v>5</v>
      </c>
      <c r="AM42" s="779">
        <f ca="1">OFFSET(AM42,0,-1)+1</f>
        <v>6</v>
      </c>
      <c r="AN42" s="77"/>
      <c r="AO42" s="77"/>
      <c r="AP42" s="77"/>
      <c r="AQ42" s="77"/>
      <c r="AR42" s="77"/>
    </row>
    <row r="43" spans="1:44" ht="21" customHeight="1">
      <c r="A43" s="822" t="s">
        <v>183</v>
      </c>
      <c r="B43" s="822"/>
      <c r="C43" s="822"/>
      <c r="D43" s="822"/>
      <c r="E43" s="1337">
        <v>1</v>
      </c>
      <c r="F43" s="822"/>
      <c r="G43" s="822"/>
      <c r="H43" s="822"/>
      <c r="I43" s="822"/>
      <c r="J43" s="822"/>
      <c r="K43" s="822"/>
      <c r="L43" s="823"/>
      <c r="M43" s="452"/>
      <c r="N43" s="452"/>
      <c r="O43" s="452"/>
      <c r="Q43" s="43"/>
      <c r="R43" s="220"/>
      <c r="S43" s="755">
        <f>INDEX(PT_DIFFERENTIATION_NUM_NTAR,MATCH(A43,PT_DIFFERENTIATION_NTAR_ID,0))</f>
        <v>0</v>
      </c>
      <c r="T43" s="76" t="s">
        <v>124</v>
      </c>
      <c r="U43" s="179"/>
      <c r="V43" s="1331"/>
      <c r="W43" s="1332"/>
      <c r="X43" s="1332"/>
      <c r="Y43" s="1332"/>
      <c r="Z43" s="1332"/>
      <c r="AA43" s="1332"/>
      <c r="AB43" s="1332"/>
      <c r="AC43" s="1333"/>
      <c r="AD43" s="1331" t="str">
        <f>INDEX(PT_DIFFERENTIATION_NTAR,MATCH(A43,PT_DIFFERENTIATION_NTAR_ID,0))</f>
        <v/>
      </c>
      <c r="AE43" s="1332"/>
      <c r="AF43" s="1332"/>
      <c r="AG43" s="1332"/>
      <c r="AH43" s="1332"/>
      <c r="AI43" s="1332"/>
      <c r="AJ43" s="1332"/>
      <c r="AK43" s="1332"/>
      <c r="AL43" s="1333"/>
      <c r="AM43" s="782" t="s">
        <v>1461</v>
      </c>
      <c r="AO43" s="79"/>
      <c r="AP43" s="79" t="str">
        <f t="shared" ref="AP43:AP57" si="1">IF(T43="","",T43)</f>
        <v>Наименование тарифа</v>
      </c>
      <c r="AQ43" s="79"/>
      <c r="AR43" s="79"/>
    </row>
    <row r="44" spans="1:44" ht="21" customHeight="1">
      <c r="A44" s="822" t="s">
        <v>183</v>
      </c>
      <c r="B44" s="822" t="s">
        <v>184</v>
      </c>
      <c r="C44" s="822"/>
      <c r="D44" s="822"/>
      <c r="E44" s="1338"/>
      <c r="F44" s="1337">
        <v>1</v>
      </c>
      <c r="G44" s="822"/>
      <c r="H44" s="822"/>
      <c r="I44" s="822"/>
      <c r="J44" s="822"/>
      <c r="K44" s="822"/>
      <c r="L44" s="823"/>
      <c r="M44" s="452"/>
      <c r="N44" s="452"/>
      <c r="O44" s="452"/>
      <c r="P44" s="68"/>
      <c r="Q44" s="217"/>
      <c r="R44" s="218"/>
      <c r="S44" s="755" t="str">
        <f>INDEX(PT_DIFFERENTIATION_NUM_TER,MATCH(B44,PT_DIFFERENTIATION_TER_ID,0))</f>
        <v>.</v>
      </c>
      <c r="T44" s="187" t="s">
        <v>1462</v>
      </c>
      <c r="U44" s="179"/>
      <c r="V44" s="1331"/>
      <c r="W44" s="1332"/>
      <c r="X44" s="1332"/>
      <c r="Y44" s="1332"/>
      <c r="Z44" s="1332"/>
      <c r="AA44" s="1332"/>
      <c r="AB44" s="1332"/>
      <c r="AC44" s="1333"/>
      <c r="AD44" s="1331" t="str">
        <f>INDEX(PT_DIFFERENTIATION_TER,MATCH(B44,PT_DIFFERENTIATION_TER_ID,0))</f>
        <v/>
      </c>
      <c r="AE44" s="1332"/>
      <c r="AF44" s="1332"/>
      <c r="AG44" s="1332"/>
      <c r="AH44" s="1332"/>
      <c r="AI44" s="1332"/>
      <c r="AJ44" s="1332"/>
      <c r="AK44" s="1332"/>
      <c r="AL44" s="1333"/>
      <c r="AM44" s="782" t="s">
        <v>1463</v>
      </c>
      <c r="AO44" s="79"/>
      <c r="AP44" s="79" t="str">
        <f t="shared" si="1"/>
        <v>Территория действия тарифа</v>
      </c>
      <c r="AQ44" s="79"/>
      <c r="AR44" s="79"/>
    </row>
    <row r="45" spans="1:44" ht="23.25" customHeight="1">
      <c r="A45" s="822" t="s">
        <v>183</v>
      </c>
      <c r="B45" s="822" t="s">
        <v>184</v>
      </c>
      <c r="C45" s="822" t="s">
        <v>185</v>
      </c>
      <c r="D45" s="822"/>
      <c r="E45" s="1338"/>
      <c r="F45" s="1338"/>
      <c r="G45" s="1337">
        <v>1</v>
      </c>
      <c r="H45" s="822"/>
      <c r="I45" s="822"/>
      <c r="J45" s="822"/>
      <c r="K45" s="822"/>
      <c r="L45" s="823"/>
      <c r="M45" s="452"/>
      <c r="N45" s="452"/>
      <c r="O45" s="452"/>
      <c r="P45" s="219"/>
      <c r="Q45" s="217"/>
      <c r="R45" s="218"/>
      <c r="S45" s="755" t="str">
        <f>INDEX(PT_DIFFERENTIATION_NUM_CS,MATCH(C45,PT_DIFFERENTIATION_CS_ID,0))</f>
        <v>..</v>
      </c>
      <c r="T45" s="188" t="s">
        <v>1464</v>
      </c>
      <c r="U45" s="179"/>
      <c r="V45" s="1331"/>
      <c r="W45" s="1332"/>
      <c r="X45" s="1332"/>
      <c r="Y45" s="1332"/>
      <c r="Z45" s="1332"/>
      <c r="AA45" s="1332"/>
      <c r="AB45" s="1332"/>
      <c r="AC45" s="1333"/>
      <c r="AD45" s="1331" t="str">
        <f>INDEX(PT_DIFFERENTIATION_CS,MATCH(C45,PT_DIFFERENTIATION_CS_ID,0))</f>
        <v/>
      </c>
      <c r="AE45" s="1332"/>
      <c r="AF45" s="1332"/>
      <c r="AG45" s="1332"/>
      <c r="AH45" s="1332"/>
      <c r="AI45" s="1332"/>
      <c r="AJ45" s="1332"/>
      <c r="AK45" s="1332"/>
      <c r="AL45" s="1333"/>
      <c r="AM45" s="782" t="s">
        <v>1465</v>
      </c>
      <c r="AO45" s="79"/>
      <c r="AP45" s="79" t="str">
        <f t="shared" si="1"/>
        <v xml:space="preserve">Наименование системы теплоснабжения </v>
      </c>
      <c r="AQ45" s="79"/>
      <c r="AR45" s="79"/>
    </row>
    <row r="46" spans="1:44" ht="21" customHeight="1">
      <c r="A46" s="822" t="s">
        <v>183</v>
      </c>
      <c r="B46" s="822" t="s">
        <v>184</v>
      </c>
      <c r="C46" s="822" t="s">
        <v>185</v>
      </c>
      <c r="D46" s="822" t="s">
        <v>186</v>
      </c>
      <c r="E46" s="1338"/>
      <c r="F46" s="1338"/>
      <c r="G46" s="1338"/>
      <c r="H46" s="1337">
        <v>1</v>
      </c>
      <c r="I46" s="822"/>
      <c r="J46" s="822"/>
      <c r="K46" s="822"/>
      <c r="L46" s="823"/>
      <c r="M46" s="452"/>
      <c r="N46" s="452"/>
      <c r="O46" s="452"/>
      <c r="P46" s="219"/>
      <c r="Q46" s="217"/>
      <c r="R46" s="218"/>
      <c r="S46" s="755" t="str">
        <f>INDEX(PT_DIFFERENTIATION_NUM_IST_TE,MATCH(D46,PT_DIFFERENTIATION_IST_TE_ID,0))</f>
        <v>...</v>
      </c>
      <c r="T46" s="189" t="s">
        <v>1466</v>
      </c>
      <c r="U46" s="179"/>
      <c r="V46" s="1331"/>
      <c r="W46" s="1332"/>
      <c r="X46" s="1332"/>
      <c r="Y46" s="1332"/>
      <c r="Z46" s="1332"/>
      <c r="AA46" s="1332"/>
      <c r="AB46" s="1332"/>
      <c r="AC46" s="1333"/>
      <c r="AD46" s="1331" t="str">
        <f>INDEX(PT_DIFFERENTIATION_IST_TE,MATCH(D46,PT_DIFFERENTIATION_IST_TE_ID,0))</f>
        <v/>
      </c>
      <c r="AE46" s="1332"/>
      <c r="AF46" s="1332"/>
      <c r="AG46" s="1332"/>
      <c r="AH46" s="1332"/>
      <c r="AI46" s="1332"/>
      <c r="AJ46" s="1332"/>
      <c r="AK46" s="1332"/>
      <c r="AL46" s="1333"/>
      <c r="AM46" s="782" t="s">
        <v>1467</v>
      </c>
      <c r="AO46" s="79"/>
      <c r="AP46" s="79" t="str">
        <f t="shared" si="1"/>
        <v xml:space="preserve">Источник тепловой энергии  </v>
      </c>
      <c r="AQ46" s="79"/>
      <c r="AR46" s="79"/>
    </row>
    <row r="47" spans="1:44" s="77" customFormat="1" ht="0" hidden="1" customHeight="1">
      <c r="A47" s="150" t="s">
        <v>183</v>
      </c>
      <c r="B47" s="150" t="s">
        <v>184</v>
      </c>
      <c r="C47" s="150" t="s">
        <v>185</v>
      </c>
      <c r="D47" s="150" t="s">
        <v>186</v>
      </c>
      <c r="E47" s="1338"/>
      <c r="F47" s="1338"/>
      <c r="G47" s="1338"/>
      <c r="H47" s="1338"/>
      <c r="I47" s="1339" t="str">
        <f>S46&amp;".1"</f>
        <v>....1</v>
      </c>
      <c r="J47" s="150"/>
      <c r="K47" s="150"/>
      <c r="L47" s="373" t="s">
        <v>1468</v>
      </c>
      <c r="M47" s="235"/>
      <c r="N47" s="235"/>
      <c r="O47" s="235"/>
      <c r="P47" s="1259">
        <v>1</v>
      </c>
      <c r="Q47" s="127"/>
      <c r="R47" s="221"/>
      <c r="S47" s="389"/>
      <c r="T47" s="831"/>
      <c r="U47" s="832"/>
      <c r="V47" s="1365"/>
      <c r="W47" s="1366"/>
      <c r="X47" s="1366"/>
      <c r="Y47" s="1366"/>
      <c r="Z47" s="1366"/>
      <c r="AA47" s="1366"/>
      <c r="AB47" s="1366"/>
      <c r="AC47" s="1367"/>
      <c r="AD47" s="1365"/>
      <c r="AE47" s="1366"/>
      <c r="AF47" s="1366"/>
      <c r="AG47" s="1366"/>
      <c r="AH47" s="1366"/>
      <c r="AI47" s="1366"/>
      <c r="AJ47" s="1366"/>
      <c r="AK47" s="1366"/>
      <c r="AL47" s="1367"/>
      <c r="AM47" s="833"/>
      <c r="AO47" s="79"/>
      <c r="AP47" s="79" t="str">
        <f t="shared" si="1"/>
        <v/>
      </c>
      <c r="AQ47" s="79"/>
      <c r="AR47" s="79"/>
    </row>
    <row r="48" spans="1:44" ht="21" customHeight="1">
      <c r="A48" s="822" t="s">
        <v>183</v>
      </c>
      <c r="B48" s="822" t="s">
        <v>184</v>
      </c>
      <c r="C48" s="822" t="s">
        <v>185</v>
      </c>
      <c r="D48" s="822" t="s">
        <v>186</v>
      </c>
      <c r="E48" s="1338"/>
      <c r="F48" s="1338"/>
      <c r="G48" s="1338"/>
      <c r="H48" s="1338"/>
      <c r="I48" s="1340"/>
      <c r="J48" s="1339" t="str">
        <f>S46&amp;".1"</f>
        <v>....1</v>
      </c>
      <c r="K48" s="822"/>
      <c r="L48" s="823" t="s">
        <v>1471</v>
      </c>
      <c r="P48" s="1259"/>
      <c r="Q48" s="1259">
        <v>1</v>
      </c>
      <c r="R48" s="222"/>
      <c r="S48" s="755" t="str">
        <f>$J48</f>
        <v>....1</v>
      </c>
      <c r="T48" s="173" t="s">
        <v>1472</v>
      </c>
      <c r="U48" s="179"/>
      <c r="V48" s="1326"/>
      <c r="W48" s="1327"/>
      <c r="X48" s="1327"/>
      <c r="Y48" s="1327"/>
      <c r="Z48" s="1327"/>
      <c r="AA48" s="1327"/>
      <c r="AB48" s="1327"/>
      <c r="AC48" s="1328"/>
      <c r="AD48" s="1326"/>
      <c r="AE48" s="1327"/>
      <c r="AF48" s="1327"/>
      <c r="AG48" s="1327"/>
      <c r="AH48" s="1327"/>
      <c r="AI48" s="1327"/>
      <c r="AJ48" s="1327"/>
      <c r="AK48" s="1327"/>
      <c r="AL48" s="1328"/>
      <c r="AM48" s="782" t="s">
        <v>1473</v>
      </c>
      <c r="AO48" s="79"/>
      <c r="AP48" s="79" t="str">
        <f t="shared" si="1"/>
        <v>Группа потребителей</v>
      </c>
      <c r="AQ48" s="79"/>
      <c r="AR48" s="79"/>
    </row>
    <row r="49" spans="1:44" ht="21" customHeight="1">
      <c r="A49" s="822" t="s">
        <v>183</v>
      </c>
      <c r="B49" s="822" t="s">
        <v>184</v>
      </c>
      <c r="C49" s="822" t="s">
        <v>185</v>
      </c>
      <c r="D49" s="822" t="s">
        <v>186</v>
      </c>
      <c r="E49" s="1338"/>
      <c r="F49" s="1338"/>
      <c r="G49" s="1338"/>
      <c r="H49" s="1338"/>
      <c r="I49" s="1340"/>
      <c r="J49" s="1340"/>
      <c r="K49" s="1339" t="str">
        <f>J48&amp;".1"</f>
        <v>....1.1</v>
      </c>
      <c r="L49" s="823" t="s">
        <v>1474</v>
      </c>
      <c r="P49" s="1259"/>
      <c r="Q49" s="1259"/>
      <c r="R49" s="222">
        <v>1</v>
      </c>
      <c r="S49" s="755" t="str">
        <f>$K49</f>
        <v>....1.1</v>
      </c>
      <c r="T49" s="821"/>
      <c r="U49" s="179"/>
      <c r="V49" s="1054"/>
      <c r="W49" s="1055"/>
      <c r="X49" s="1054"/>
      <c r="Y49" s="1056"/>
      <c r="Z49" s="1341"/>
      <c r="AA49" s="1133" t="s">
        <v>67</v>
      </c>
      <c r="AB49" s="1341"/>
      <c r="AC49" s="1133" t="s">
        <v>67</v>
      </c>
      <c r="AD49" s="1054"/>
      <c r="AE49" s="1055"/>
      <c r="AF49" s="1054"/>
      <c r="AG49" s="1056"/>
      <c r="AH49" s="1341"/>
      <c r="AI49" s="1133" t="s">
        <v>67</v>
      </c>
      <c r="AJ49" s="1343"/>
      <c r="AK49" s="1133" t="s">
        <v>67</v>
      </c>
      <c r="AL49" s="1060"/>
      <c r="AM49" s="1359" t="s">
        <v>1518</v>
      </c>
      <c r="AN49" s="77" t="e">
        <f ca="1">STRCHECKDATE(V50:AL50)</f>
        <v>#NAME?</v>
      </c>
      <c r="AO49" s="79"/>
      <c r="AP49" s="79" t="str">
        <f t="shared" si="1"/>
        <v/>
      </c>
      <c r="AQ49" s="79"/>
      <c r="AR49" s="79"/>
    </row>
    <row r="50" spans="1:44" ht="0.75" customHeight="1">
      <c r="A50" s="822" t="s">
        <v>183</v>
      </c>
      <c r="B50" s="822" t="s">
        <v>184</v>
      </c>
      <c r="C50" s="822" t="s">
        <v>185</v>
      </c>
      <c r="D50" s="822" t="s">
        <v>186</v>
      </c>
      <c r="E50" s="1338"/>
      <c r="F50" s="1338"/>
      <c r="G50" s="1338"/>
      <c r="H50" s="1338"/>
      <c r="I50" s="1340"/>
      <c r="J50" s="1340"/>
      <c r="K50" s="1339"/>
      <c r="L50" s="823"/>
      <c r="P50" s="1259"/>
      <c r="Q50" s="1259"/>
      <c r="R50" s="222"/>
      <c r="S50" s="74"/>
      <c r="T50" s="179"/>
      <c r="U50" s="179"/>
      <c r="V50" s="1055"/>
      <c r="W50" s="1055"/>
      <c r="X50" s="1055"/>
      <c r="Y50" s="1057" t="str">
        <f>Z49&amp;"-"&amp;AB49</f>
        <v>-</v>
      </c>
      <c r="Z50" s="1342"/>
      <c r="AA50" s="1133"/>
      <c r="AB50" s="1342"/>
      <c r="AC50" s="1133"/>
      <c r="AD50" s="1055"/>
      <c r="AE50" s="1055"/>
      <c r="AF50" s="1055"/>
      <c r="AG50" s="1057" t="str">
        <f>AH49&amp;"-"&amp;AJ49</f>
        <v>-</v>
      </c>
      <c r="AH50" s="1342"/>
      <c r="AI50" s="1133"/>
      <c r="AJ50" s="1344"/>
      <c r="AK50" s="1133"/>
      <c r="AL50" s="1061"/>
      <c r="AM50" s="1360"/>
      <c r="AO50" s="79"/>
      <c r="AP50" s="79" t="str">
        <f t="shared" si="1"/>
        <v/>
      </c>
      <c r="AQ50" s="79"/>
      <c r="AR50" s="79"/>
    </row>
    <row r="51" spans="1:44" ht="11.25" customHeight="1">
      <c r="A51" s="822" t="s">
        <v>183</v>
      </c>
      <c r="B51" s="822" t="s">
        <v>184</v>
      </c>
      <c r="C51" s="822" t="s">
        <v>185</v>
      </c>
      <c r="D51" s="822" t="s">
        <v>186</v>
      </c>
      <c r="E51" s="1338"/>
      <c r="F51" s="1338"/>
      <c r="G51" s="1338"/>
      <c r="H51" s="1338"/>
      <c r="I51" s="1340"/>
      <c r="J51" s="1339"/>
      <c r="K51" s="822"/>
      <c r="L51" s="823"/>
      <c r="P51" s="1259"/>
      <c r="Q51" s="1259"/>
      <c r="R51" s="221"/>
      <c r="S51" s="796"/>
      <c r="T51" s="174" t="s">
        <v>1476</v>
      </c>
      <c r="U51" s="228"/>
      <c r="V51" s="228"/>
      <c r="W51" s="228"/>
      <c r="X51" s="228"/>
      <c r="Y51" s="228"/>
      <c r="Z51" s="228"/>
      <c r="AA51" s="228"/>
      <c r="AB51" s="228"/>
      <c r="AC51" s="228"/>
      <c r="AD51" s="228"/>
      <c r="AE51" s="228"/>
      <c r="AF51" s="228"/>
      <c r="AG51" s="228"/>
      <c r="AH51" s="228"/>
      <c r="AI51" s="228"/>
      <c r="AJ51" s="228"/>
      <c r="AK51" s="228"/>
      <c r="AL51" s="204"/>
      <c r="AM51" s="1361"/>
      <c r="AO51" s="79"/>
      <c r="AP51" s="79" t="str">
        <f t="shared" si="1"/>
        <v>Добавить вид теплоносителя (параметры теплоносителя)</v>
      </c>
      <c r="AQ51" s="79"/>
      <c r="AR51" s="79"/>
    </row>
    <row r="52" spans="1:44" ht="11.25" customHeight="1">
      <c r="A52" s="822" t="s">
        <v>183</v>
      </c>
      <c r="B52" s="822" t="s">
        <v>184</v>
      </c>
      <c r="C52" s="822" t="s">
        <v>185</v>
      </c>
      <c r="D52" s="822" t="s">
        <v>186</v>
      </c>
      <c r="E52" s="1338"/>
      <c r="F52" s="1338"/>
      <c r="G52" s="1338"/>
      <c r="H52" s="1338"/>
      <c r="I52" s="1339"/>
      <c r="J52" s="822"/>
      <c r="K52" s="822"/>
      <c r="L52" s="823"/>
      <c r="P52" s="1259"/>
      <c r="Q52" s="127"/>
      <c r="R52" s="221"/>
      <c r="S52" s="796"/>
      <c r="T52" s="226" t="s">
        <v>1477</v>
      </c>
      <c r="U52" s="228"/>
      <c r="V52" s="228"/>
      <c r="W52" s="228"/>
      <c r="X52" s="228"/>
      <c r="Y52" s="228"/>
      <c r="Z52" s="228"/>
      <c r="AA52" s="228"/>
      <c r="AB52" s="228"/>
      <c r="AC52" s="205"/>
      <c r="AD52" s="228"/>
      <c r="AE52" s="228"/>
      <c r="AF52" s="228"/>
      <c r="AG52" s="228"/>
      <c r="AH52" s="228"/>
      <c r="AI52" s="228"/>
      <c r="AJ52" s="228"/>
      <c r="AK52" s="205"/>
      <c r="AL52" s="228"/>
      <c r="AM52" s="182"/>
      <c r="AO52" s="79"/>
      <c r="AP52" s="79" t="str">
        <f t="shared" si="1"/>
        <v>Добавить группу потребителей</v>
      </c>
      <c r="AQ52" s="79"/>
      <c r="AR52" s="79"/>
    </row>
    <row r="53" spans="1:44" ht="0" hidden="1" customHeight="1">
      <c r="A53" s="822" t="s">
        <v>183</v>
      </c>
      <c r="B53" s="822" t="s">
        <v>184</v>
      </c>
      <c r="C53" s="822" t="s">
        <v>185</v>
      </c>
      <c r="D53" s="822" t="s">
        <v>186</v>
      </c>
      <c r="E53" s="1338"/>
      <c r="F53" s="1338"/>
      <c r="G53" s="1338"/>
      <c r="H53" s="1337"/>
      <c r="I53" s="822"/>
      <c r="J53" s="822"/>
      <c r="K53" s="822"/>
      <c r="L53" s="823"/>
      <c r="M53" s="452"/>
      <c r="N53" s="452"/>
      <c r="O53" s="72"/>
      <c r="P53" s="43"/>
      <c r="Q53" s="231"/>
      <c r="R53" s="220"/>
      <c r="S53" s="834"/>
      <c r="T53" s="835"/>
      <c r="U53" s="836"/>
      <c r="V53" s="836"/>
      <c r="W53" s="836"/>
      <c r="X53" s="836"/>
      <c r="Y53" s="836"/>
      <c r="Z53" s="836"/>
      <c r="AA53" s="836"/>
      <c r="AB53" s="836"/>
      <c r="AC53" s="836"/>
      <c r="AD53" s="836"/>
      <c r="AE53" s="836"/>
      <c r="AF53" s="836"/>
      <c r="AG53" s="836"/>
      <c r="AH53" s="836"/>
      <c r="AI53" s="836"/>
      <c r="AJ53" s="836"/>
      <c r="AK53" s="836"/>
      <c r="AL53" s="836"/>
      <c r="AM53" s="837"/>
      <c r="AO53" s="79"/>
      <c r="AP53" s="79" t="str">
        <f t="shared" si="1"/>
        <v/>
      </c>
      <c r="AQ53" s="79"/>
      <c r="AR53" s="79"/>
    </row>
    <row r="54" spans="1:44" s="77" customFormat="1" ht="0.75" customHeight="1">
      <c r="A54" s="150" t="s">
        <v>183</v>
      </c>
      <c r="B54" s="150" t="s">
        <v>184</v>
      </c>
      <c r="C54" s="150" t="s">
        <v>185</v>
      </c>
      <c r="D54" s="150"/>
      <c r="E54" s="1338"/>
      <c r="F54" s="1338"/>
      <c r="G54" s="1337"/>
      <c r="H54" s="150"/>
      <c r="I54" s="150"/>
      <c r="J54" s="150"/>
      <c r="K54" s="150"/>
      <c r="L54" s="373"/>
      <c r="M54" s="318"/>
      <c r="N54" s="318"/>
      <c r="P54" s="111"/>
      <c r="Q54" s="811"/>
      <c r="R54" s="111"/>
      <c r="S54" s="816"/>
      <c r="T54" s="818" t="s">
        <v>1437</v>
      </c>
      <c r="U54" s="338"/>
      <c r="V54" s="338"/>
      <c r="W54" s="338"/>
      <c r="X54" s="338"/>
      <c r="Y54" s="338"/>
      <c r="Z54" s="338"/>
      <c r="AA54" s="338"/>
      <c r="AB54" s="338"/>
      <c r="AC54" s="338"/>
      <c r="AD54" s="338"/>
      <c r="AE54" s="338"/>
      <c r="AF54" s="338"/>
      <c r="AG54" s="338"/>
      <c r="AH54" s="338"/>
      <c r="AI54" s="338"/>
      <c r="AJ54" s="338"/>
      <c r="AK54" s="338"/>
      <c r="AL54" s="338"/>
      <c r="AM54" s="338"/>
      <c r="AO54" s="79"/>
      <c r="AP54" s="79" t="str">
        <f t="shared" si="1"/>
        <v>Добавить источник для дифференциации</v>
      </c>
      <c r="AQ54" s="79"/>
      <c r="AR54" s="79"/>
    </row>
    <row r="55" spans="1:44" s="77" customFormat="1" ht="0.75" customHeight="1">
      <c r="A55" s="150" t="s">
        <v>183</v>
      </c>
      <c r="B55" s="150" t="s">
        <v>184</v>
      </c>
      <c r="C55" s="150"/>
      <c r="D55" s="150"/>
      <c r="E55" s="1338"/>
      <c r="F55" s="1337"/>
      <c r="G55" s="150"/>
      <c r="H55" s="150"/>
      <c r="I55" s="150"/>
      <c r="J55" s="150"/>
      <c r="K55" s="150"/>
      <c r="L55" s="373"/>
      <c r="M55" s="815"/>
      <c r="N55" s="815"/>
      <c r="P55" s="111"/>
      <c r="Q55" s="811"/>
      <c r="R55" s="111"/>
      <c r="S55" s="816"/>
      <c r="T55" s="818" t="s">
        <v>1438</v>
      </c>
      <c r="U55" s="338"/>
      <c r="V55" s="338"/>
      <c r="W55" s="338"/>
      <c r="X55" s="338"/>
      <c r="Y55" s="338"/>
      <c r="Z55" s="338"/>
      <c r="AA55" s="338"/>
      <c r="AB55" s="338"/>
      <c r="AC55" s="338"/>
      <c r="AD55" s="338"/>
      <c r="AE55" s="338"/>
      <c r="AF55" s="338"/>
      <c r="AG55" s="338"/>
      <c r="AH55" s="338"/>
      <c r="AI55" s="338"/>
      <c r="AJ55" s="338"/>
      <c r="AK55" s="338"/>
      <c r="AL55" s="338"/>
      <c r="AM55" s="338"/>
      <c r="AO55" s="79"/>
      <c r="AP55" s="79" t="str">
        <f t="shared" si="1"/>
        <v>Добавить централизованную систему для дифференциации</v>
      </c>
      <c r="AQ55" s="79"/>
      <c r="AR55" s="79"/>
    </row>
    <row r="56" spans="1:44" s="77" customFormat="1" ht="0.75" customHeight="1">
      <c r="A56" s="150" t="s">
        <v>183</v>
      </c>
      <c r="B56" s="150"/>
      <c r="C56" s="150"/>
      <c r="D56" s="150"/>
      <c r="E56" s="1337"/>
      <c r="F56" s="150"/>
      <c r="G56" s="150"/>
      <c r="H56" s="150"/>
      <c r="I56" s="150"/>
      <c r="J56" s="150"/>
      <c r="K56" s="150"/>
      <c r="L56" s="373"/>
      <c r="M56" s="815"/>
      <c r="N56" s="815"/>
      <c r="P56" s="111"/>
      <c r="Q56" s="811"/>
      <c r="R56" s="111"/>
      <c r="S56" s="816"/>
      <c r="T56" s="818" t="s">
        <v>1439</v>
      </c>
      <c r="U56" s="338"/>
      <c r="V56" s="338"/>
      <c r="W56" s="338"/>
      <c r="X56" s="338"/>
      <c r="Y56" s="338"/>
      <c r="Z56" s="338"/>
      <c r="AA56" s="338"/>
      <c r="AB56" s="338"/>
      <c r="AC56" s="338"/>
      <c r="AD56" s="338"/>
      <c r="AE56" s="338"/>
      <c r="AF56" s="338"/>
      <c r="AG56" s="338"/>
      <c r="AH56" s="338"/>
      <c r="AI56" s="338"/>
      <c r="AJ56" s="338"/>
      <c r="AK56" s="338"/>
      <c r="AL56" s="338"/>
      <c r="AM56" s="338"/>
      <c r="AO56" s="79"/>
      <c r="AP56" s="79" t="str">
        <f t="shared" si="1"/>
        <v>Добавить территорию для дифференциации</v>
      </c>
      <c r="AQ56" s="79"/>
      <c r="AR56" s="79"/>
    </row>
    <row r="57" spans="1:44" s="77" customFormat="1" ht="0.75" customHeight="1">
      <c r="A57" s="150"/>
      <c r="B57" s="150"/>
      <c r="C57" s="150"/>
      <c r="D57" s="150"/>
      <c r="E57" s="150"/>
      <c r="F57" s="150"/>
      <c r="G57" s="150"/>
      <c r="H57" s="150"/>
      <c r="I57" s="150"/>
      <c r="J57" s="150"/>
      <c r="K57" s="150"/>
      <c r="L57" s="373"/>
      <c r="M57" s="815"/>
      <c r="N57" s="815"/>
      <c r="P57" s="111"/>
      <c r="Q57" s="811"/>
      <c r="R57" s="111"/>
      <c r="S57" s="816"/>
      <c r="T57" s="818" t="s">
        <v>1440</v>
      </c>
      <c r="U57" s="338"/>
      <c r="V57" s="338"/>
      <c r="W57" s="338"/>
      <c r="X57" s="338"/>
      <c r="Y57" s="338"/>
      <c r="Z57" s="338"/>
      <c r="AA57" s="338"/>
      <c r="AB57" s="338"/>
      <c r="AC57" s="338"/>
      <c r="AD57" s="338"/>
      <c r="AE57" s="338"/>
      <c r="AF57" s="338"/>
      <c r="AG57" s="338"/>
      <c r="AH57" s="338"/>
      <c r="AI57" s="338"/>
      <c r="AJ57" s="338"/>
      <c r="AK57" s="338"/>
      <c r="AL57" s="338"/>
      <c r="AM57" s="338"/>
      <c r="AO57" s="79"/>
      <c r="AP57" s="79" t="str">
        <f t="shared" si="1"/>
        <v>Добавить наименование тарифа</v>
      </c>
      <c r="AQ57" s="79"/>
      <c r="AR57" s="79"/>
    </row>
    <row r="58" spans="1:44" ht="11.25" hidden="1" customHeight="1">
      <c r="M58" s="72"/>
      <c r="N58" s="72"/>
      <c r="O58" s="72"/>
      <c r="P58" s="24"/>
      <c r="Q58" s="24"/>
      <c r="R58" s="24"/>
      <c r="S58" s="24"/>
      <c r="AN58" s="24"/>
      <c r="AO58" s="24"/>
      <c r="AP58" s="24"/>
      <c r="AQ58" s="24"/>
      <c r="AR58" s="24"/>
    </row>
    <row r="59" spans="1:44" ht="21.75" hidden="1" customHeight="1">
      <c r="O59" s="72"/>
      <c r="S59" s="210" t="s">
        <v>1510</v>
      </c>
      <c r="T59" s="1336" t="s">
        <v>1519</v>
      </c>
      <c r="U59" s="1336"/>
      <c r="V59" s="1336"/>
      <c r="W59" s="1336"/>
      <c r="X59" s="1336"/>
      <c r="Y59" s="1336"/>
      <c r="Z59" s="1336"/>
      <c r="AA59" s="1336"/>
      <c r="AB59" s="1336"/>
      <c r="AC59" s="1336"/>
      <c r="AD59" s="1336"/>
      <c r="AE59" s="1336"/>
      <c r="AF59" s="1336"/>
      <c r="AG59" s="1336"/>
      <c r="AH59" s="1336"/>
      <c r="AI59" s="1336"/>
      <c r="AJ59" s="1336"/>
      <c r="AK59" s="1336"/>
      <c r="AL59" s="1336"/>
      <c r="AM59" s="1336"/>
    </row>
    <row r="60" spans="1:44" ht="29.25" hidden="1" customHeight="1">
      <c r="O60" s="72"/>
      <c r="T60" s="1336" t="s">
        <v>1520</v>
      </c>
      <c r="U60" s="1336"/>
      <c r="V60" s="1336"/>
      <c r="W60" s="1336"/>
      <c r="X60" s="1336"/>
      <c r="Y60" s="1336"/>
      <c r="Z60" s="1336"/>
      <c r="AA60" s="1336"/>
      <c r="AB60" s="1336"/>
      <c r="AC60" s="1336"/>
      <c r="AD60" s="1336"/>
      <c r="AE60" s="1336"/>
      <c r="AF60" s="1336"/>
      <c r="AG60" s="1336"/>
      <c r="AH60" s="1336"/>
      <c r="AI60" s="1336"/>
      <c r="AJ60" s="1336"/>
      <c r="AK60" s="1336"/>
      <c r="AL60" s="1336"/>
      <c r="AM60" s="1336"/>
    </row>
    <row r="61" spans="1:44" ht="39.75" hidden="1" customHeight="1">
      <c r="O61" s="72"/>
      <c r="T61" s="1336" t="s">
        <v>1521</v>
      </c>
      <c r="U61" s="1336"/>
      <c r="V61" s="1336"/>
      <c r="W61" s="1336"/>
      <c r="X61" s="1336"/>
      <c r="Y61" s="1336"/>
      <c r="Z61" s="1336"/>
      <c r="AA61" s="1336"/>
      <c r="AB61" s="1336"/>
      <c r="AC61" s="1336"/>
      <c r="AD61" s="1336"/>
      <c r="AE61" s="1336"/>
      <c r="AF61" s="1336"/>
      <c r="AG61" s="1336"/>
      <c r="AH61" s="1336"/>
      <c r="AI61" s="1336"/>
      <c r="AJ61" s="1336"/>
      <c r="AK61" s="1336"/>
      <c r="AL61" s="1336"/>
      <c r="AM61" s="1336"/>
    </row>
    <row r="62" spans="1:44" ht="14.25" hidden="1" customHeight="1">
      <c r="O62" s="72"/>
    </row>
    <row r="63" spans="1:44" ht="19.5" hidden="1" customHeight="1">
      <c r="O63" s="72"/>
      <c r="S63" s="210" t="s">
        <v>1510</v>
      </c>
      <c r="T63" s="1165" t="s">
        <v>1513</v>
      </c>
      <c r="U63" s="1336"/>
      <c r="V63" s="1336"/>
      <c r="W63" s="1336"/>
      <c r="X63" s="1336"/>
      <c r="Y63" s="1336"/>
      <c r="Z63" s="1336"/>
      <c r="AA63" s="1336"/>
      <c r="AB63" s="1336"/>
      <c r="AC63" s="1336"/>
      <c r="AD63" s="1336"/>
      <c r="AE63" s="1336"/>
      <c r="AF63" s="1336"/>
      <c r="AG63" s="1336"/>
      <c r="AH63" s="1336"/>
      <c r="AI63" s="1336"/>
      <c r="AJ63" s="1336"/>
      <c r="AK63" s="1336"/>
      <c r="AL63" s="1336"/>
      <c r="AM63" s="1336"/>
    </row>
    <row r="64" spans="1:44" ht="27.75" hidden="1" customHeight="1">
      <c r="O64" s="72"/>
      <c r="T64" s="1336" t="s">
        <v>1522</v>
      </c>
      <c r="U64" s="1336"/>
      <c r="V64" s="1336"/>
      <c r="W64" s="1336"/>
      <c r="X64" s="1336"/>
      <c r="Y64" s="1336"/>
      <c r="Z64" s="1336"/>
      <c r="AA64" s="1336"/>
      <c r="AB64" s="1336"/>
      <c r="AC64" s="1336"/>
      <c r="AD64" s="1336"/>
      <c r="AE64" s="1336"/>
      <c r="AF64" s="1336"/>
      <c r="AG64" s="1336"/>
      <c r="AH64" s="1336"/>
      <c r="AI64" s="1336"/>
      <c r="AJ64" s="1336"/>
      <c r="AK64" s="1336"/>
      <c r="AL64" s="1336"/>
      <c r="AM64" s="1336"/>
    </row>
    <row r="65" spans="20:39" ht="33.75" hidden="1" customHeight="1">
      <c r="T65" s="1336" t="s">
        <v>1523</v>
      </c>
      <c r="U65" s="1336"/>
      <c r="V65" s="1336"/>
      <c r="W65" s="1336"/>
      <c r="X65" s="1336"/>
      <c r="Y65" s="1336"/>
      <c r="Z65" s="1336"/>
      <c r="AA65" s="1336"/>
      <c r="AB65" s="1336"/>
      <c r="AC65" s="1336"/>
      <c r="AD65" s="1336"/>
      <c r="AE65" s="1336"/>
      <c r="AF65" s="1336"/>
      <c r="AG65" s="1336"/>
      <c r="AH65" s="1336"/>
      <c r="AI65" s="1336"/>
      <c r="AJ65" s="1336"/>
      <c r="AK65" s="1336"/>
      <c r="AL65" s="1336"/>
      <c r="AM65" s="1336"/>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3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3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3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3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3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3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3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3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CBE651-17F1-1083-F4CB-AA229E0561A4}">
  <sheetPr>
    <tabColor theme="6" tint="0.39997558519241921"/>
  </sheetPr>
  <dimension ref="A1:AR65"/>
  <sheetViews>
    <sheetView showGridLines="0" topLeftCell="Q25" zoomScale="90" workbookViewId="0"/>
  </sheetViews>
  <sheetFormatPr defaultColWidth="10.5703125" defaultRowHeight="14.25" customHeight="1"/>
  <cols>
    <col min="1" max="1" width="10.5703125" style="72" hidden="1"/>
    <col min="2" max="2" width="11" style="72" hidden="1" customWidth="1"/>
    <col min="3" max="3" width="10.5703125" style="72" hidden="1"/>
    <col min="4" max="4" width="11.85546875" style="72" hidden="1" customWidth="1"/>
    <col min="5" max="5" width="10" style="72" hidden="1" customWidth="1"/>
    <col min="6" max="6" width="8.7109375" style="72" hidden="1" customWidth="1"/>
    <col min="7" max="7" width="7.5703125" style="72" hidden="1" customWidth="1"/>
    <col min="8" max="8" width="11.42578125" style="72" hidden="1" customWidth="1"/>
    <col min="9" max="9" width="12" style="72" hidden="1" customWidth="1"/>
    <col min="10" max="10" width="9.85546875" style="72" hidden="1" customWidth="1"/>
    <col min="11" max="11" width="11.42578125" style="72" hidden="1" customWidth="1"/>
    <col min="12" max="12" width="19.140625" style="388" hidden="1" customWidth="1"/>
    <col min="13" max="14" width="12.28515625" style="541" hidden="1" customWidth="1"/>
    <col min="15" max="15" width="23.42578125" style="541" hidden="1" customWidth="1"/>
    <col min="16" max="16" width="3.7109375" style="42" hidden="1" customWidth="1"/>
    <col min="17" max="18" width="3.7109375" style="37" customWidth="1"/>
    <col min="19" max="19" width="12.7109375" style="368" customWidth="1"/>
    <col min="20" max="20" width="32" style="24" customWidth="1"/>
    <col min="21" max="21" width="0.140625" style="24" customWidth="1"/>
    <col min="22" max="22" width="24.7109375" style="24" hidden="1" customWidth="1"/>
    <col min="23" max="23" width="0.140625" style="24" hidden="1" customWidth="1"/>
    <col min="24" max="25" width="24.7109375" style="24" hidden="1" customWidth="1"/>
    <col min="26" max="26" width="11.7109375" style="24" hidden="1" customWidth="1"/>
    <col min="27" max="27" width="3.7109375" style="24" hidden="1" customWidth="1"/>
    <col min="28" max="28" width="11.7109375" style="24" hidden="1" customWidth="1"/>
    <col min="29" max="29" width="8.5703125" style="24" hidden="1" customWidth="1"/>
    <col min="30" max="30" width="24.7109375" style="24" customWidth="1"/>
    <col min="31" max="31" width="0.140625" style="24" customWidth="1"/>
    <col min="32" max="33" width="24.7109375" style="24" customWidth="1"/>
    <col min="34" max="34" width="11.7109375" style="24" customWidth="1"/>
    <col min="35" max="35" width="3.7109375" style="24" customWidth="1"/>
    <col min="36" max="36" width="11.7109375" style="24" customWidth="1"/>
    <col min="37" max="37" width="8.5703125" style="24" hidden="1" customWidth="1"/>
    <col min="38" max="38" width="4.7109375" style="24" customWidth="1"/>
    <col min="39" max="39" width="115.7109375" style="24" customWidth="1"/>
    <col min="40" max="41" width="10.5703125" style="77"/>
    <col min="42" max="42" width="11.140625" style="77" customWidth="1"/>
    <col min="43" max="44" width="10.5703125" style="77"/>
  </cols>
  <sheetData>
    <row r="1" spans="1:44" ht="14.25" hidden="1" customHeight="1"/>
    <row r="2" spans="1:44" ht="21" hidden="1" customHeight="1">
      <c r="A2" s="822"/>
      <c r="B2" s="822"/>
      <c r="C2" s="822"/>
      <c r="D2" s="822"/>
      <c r="E2" s="1337">
        <v>1</v>
      </c>
      <c r="F2" s="822"/>
      <c r="G2" s="822"/>
      <c r="H2" s="822"/>
      <c r="I2" s="822"/>
      <c r="J2" s="822"/>
      <c r="K2" s="822"/>
      <c r="L2" s="823"/>
      <c r="M2" s="452"/>
      <c r="N2" s="452"/>
      <c r="O2" s="452"/>
      <c r="Q2" s="43"/>
      <c r="R2" s="220"/>
      <c r="S2" s="755" t="e">
        <f>INDEX(PT_DIFFERENTIATION_NUM_NTAR,MATCH(A2,PT_DIFFERENTIATION_NTAR_ID,0))</f>
        <v>#N/A</v>
      </c>
      <c r="T2" s="76" t="s">
        <v>124</v>
      </c>
      <c r="U2" s="179"/>
      <c r="V2" s="1331"/>
      <c r="W2" s="1332"/>
      <c r="X2" s="1332"/>
      <c r="Y2" s="1332"/>
      <c r="Z2" s="1332"/>
      <c r="AA2" s="1332"/>
      <c r="AB2" s="1332"/>
      <c r="AC2" s="1333"/>
      <c r="AD2" s="1331" t="e">
        <f>INDEX(PT_DIFFERENTIATION_NTAR,MATCH(A2,PT_DIFFERENTIATION_NTAR_ID,0))</f>
        <v>#N/A</v>
      </c>
      <c r="AE2" s="1332"/>
      <c r="AF2" s="1332"/>
      <c r="AG2" s="1332"/>
      <c r="AH2" s="1332"/>
      <c r="AI2" s="1332"/>
      <c r="AJ2" s="1332"/>
      <c r="AK2" s="1332"/>
      <c r="AL2" s="1333"/>
      <c r="AM2" s="782" t="s">
        <v>1461</v>
      </c>
      <c r="AO2" s="79"/>
      <c r="AP2" s="79" t="str">
        <f t="shared" ref="AP2:AP15" si="0">IF(T2="","",T2)</f>
        <v>Наименование тарифа</v>
      </c>
      <c r="AQ2" s="79"/>
      <c r="AR2" s="79"/>
    </row>
    <row r="3" spans="1:44" ht="21" hidden="1" customHeight="1">
      <c r="A3" s="822"/>
      <c r="B3" s="822"/>
      <c r="C3" s="822"/>
      <c r="D3" s="822"/>
      <c r="E3" s="1338"/>
      <c r="F3" s="1337">
        <v>1</v>
      </c>
      <c r="G3" s="822"/>
      <c r="H3" s="822"/>
      <c r="I3" s="822"/>
      <c r="J3" s="822"/>
      <c r="K3" s="822"/>
      <c r="L3" s="823"/>
      <c r="M3" s="452"/>
      <c r="N3" s="452"/>
      <c r="O3" s="452"/>
      <c r="P3" s="68"/>
      <c r="Q3" s="217"/>
      <c r="R3" s="218"/>
      <c r="S3" s="755" t="e">
        <f>INDEX(PT_DIFFERENTIATION_NUM_TER,MATCH(B3,PT_DIFFERENTIATION_TER_ID,0))</f>
        <v>#N/A</v>
      </c>
      <c r="T3" s="187" t="s">
        <v>1462</v>
      </c>
      <c r="U3" s="179"/>
      <c r="V3" s="1331"/>
      <c r="W3" s="1332"/>
      <c r="X3" s="1332"/>
      <c r="Y3" s="1332"/>
      <c r="Z3" s="1332"/>
      <c r="AA3" s="1332"/>
      <c r="AB3" s="1332"/>
      <c r="AC3" s="1333"/>
      <c r="AD3" s="1331" t="e">
        <f>INDEX(PT_DIFFERENTIATION_TER,MATCH(B3,PT_DIFFERENTIATION_TER_ID,0))</f>
        <v>#N/A</v>
      </c>
      <c r="AE3" s="1332"/>
      <c r="AF3" s="1332"/>
      <c r="AG3" s="1332"/>
      <c r="AH3" s="1332"/>
      <c r="AI3" s="1332"/>
      <c r="AJ3" s="1332"/>
      <c r="AK3" s="1332"/>
      <c r="AL3" s="1333"/>
      <c r="AM3" s="782" t="s">
        <v>1463</v>
      </c>
      <c r="AO3" s="79"/>
      <c r="AP3" s="79" t="str">
        <f t="shared" si="0"/>
        <v>Территория действия тарифа</v>
      </c>
      <c r="AQ3" s="79"/>
      <c r="AR3" s="79"/>
    </row>
    <row r="4" spans="1:44" ht="23.25" hidden="1" customHeight="1">
      <c r="A4" s="822"/>
      <c r="B4" s="822"/>
      <c r="C4" s="822"/>
      <c r="D4" s="822"/>
      <c r="E4" s="1338"/>
      <c r="F4" s="1338"/>
      <c r="G4" s="1337">
        <v>1</v>
      </c>
      <c r="H4" s="822"/>
      <c r="I4" s="822"/>
      <c r="J4" s="822"/>
      <c r="K4" s="822"/>
      <c r="L4" s="823"/>
      <c r="M4" s="452"/>
      <c r="N4" s="452"/>
      <c r="O4" s="452"/>
      <c r="P4" s="219"/>
      <c r="Q4" s="217"/>
      <c r="R4" s="218"/>
      <c r="S4" s="755" t="e">
        <f>INDEX(PT_DIFFERENTIATION_NUM_CS,MATCH(C4,PT_DIFFERENTIATION_CS_ID,0))</f>
        <v>#N/A</v>
      </c>
      <c r="T4" s="188" t="s">
        <v>1464</v>
      </c>
      <c r="U4" s="179"/>
      <c r="V4" s="1331"/>
      <c r="W4" s="1332"/>
      <c r="X4" s="1332"/>
      <c r="Y4" s="1332"/>
      <c r="Z4" s="1332"/>
      <c r="AA4" s="1332"/>
      <c r="AB4" s="1332"/>
      <c r="AC4" s="1333"/>
      <c r="AD4" s="1331" t="e">
        <f>INDEX(PT_DIFFERENTIATION_CS,MATCH(C4,PT_DIFFERENTIATION_CS_ID,0))</f>
        <v>#N/A</v>
      </c>
      <c r="AE4" s="1332"/>
      <c r="AF4" s="1332"/>
      <c r="AG4" s="1332"/>
      <c r="AH4" s="1332"/>
      <c r="AI4" s="1332"/>
      <c r="AJ4" s="1332"/>
      <c r="AK4" s="1332"/>
      <c r="AL4" s="1333"/>
      <c r="AM4" s="782" t="s">
        <v>1465</v>
      </c>
      <c r="AO4" s="79"/>
      <c r="AP4" s="79" t="str">
        <f t="shared" si="0"/>
        <v xml:space="preserve">Наименование системы теплоснабжения </v>
      </c>
      <c r="AQ4" s="79"/>
      <c r="AR4" s="79"/>
    </row>
    <row r="5" spans="1:44" ht="21" hidden="1" customHeight="1">
      <c r="A5" s="822"/>
      <c r="B5" s="822"/>
      <c r="C5" s="822"/>
      <c r="D5" s="822"/>
      <c r="E5" s="1338"/>
      <c r="F5" s="1338"/>
      <c r="G5" s="1338"/>
      <c r="H5" s="1337">
        <v>1</v>
      </c>
      <c r="I5" s="822"/>
      <c r="J5" s="822"/>
      <c r="K5" s="822"/>
      <c r="L5" s="823"/>
      <c r="M5" s="452"/>
      <c r="N5" s="452"/>
      <c r="O5" s="452"/>
      <c r="P5" s="219"/>
      <c r="Q5" s="217"/>
      <c r="R5" s="218"/>
      <c r="S5" s="755" t="e">
        <f>INDEX(PT_DIFFERENTIATION_NUM_IST_TE,MATCH(D5,PT_DIFFERENTIATION_IST_TE_ID,0))</f>
        <v>#N/A</v>
      </c>
      <c r="T5" s="189" t="s">
        <v>1466</v>
      </c>
      <c r="U5" s="179"/>
      <c r="V5" s="1331"/>
      <c r="W5" s="1332"/>
      <c r="X5" s="1332"/>
      <c r="Y5" s="1332"/>
      <c r="Z5" s="1332"/>
      <c r="AA5" s="1332"/>
      <c r="AB5" s="1332"/>
      <c r="AC5" s="1333"/>
      <c r="AD5" s="1331" t="e">
        <f>INDEX(PT_DIFFERENTIATION_IST_TE,MATCH(D5,PT_DIFFERENTIATION_IST_TE_ID,0))</f>
        <v>#N/A</v>
      </c>
      <c r="AE5" s="1332"/>
      <c r="AF5" s="1332"/>
      <c r="AG5" s="1332"/>
      <c r="AH5" s="1332"/>
      <c r="AI5" s="1332"/>
      <c r="AJ5" s="1332"/>
      <c r="AK5" s="1332"/>
      <c r="AL5" s="1333"/>
      <c r="AM5" s="782" t="s">
        <v>1467</v>
      </c>
      <c r="AO5" s="79"/>
      <c r="AP5" s="79" t="str">
        <f t="shared" si="0"/>
        <v xml:space="preserve">Источник тепловой энергии  </v>
      </c>
      <c r="AQ5" s="79"/>
      <c r="AR5" s="79"/>
    </row>
    <row r="6" spans="1:44" ht="14.25" hidden="1" customHeight="1">
      <c r="A6" s="822"/>
      <c r="B6" s="822"/>
      <c r="C6" s="822"/>
      <c r="D6" s="822"/>
      <c r="E6" s="1338"/>
      <c r="F6" s="1338"/>
      <c r="G6" s="1338"/>
      <c r="H6" s="1338"/>
      <c r="I6" s="1339" t="e">
        <f>S5&amp;".1"</f>
        <v>#N/A</v>
      </c>
      <c r="J6" s="822"/>
      <c r="K6" s="822"/>
      <c r="L6" s="823" t="s">
        <v>1468</v>
      </c>
      <c r="M6" s="72"/>
      <c r="P6" s="1259">
        <v>1</v>
      </c>
      <c r="Q6" s="127"/>
      <c r="R6" s="221"/>
      <c r="S6" s="389"/>
      <c r="T6" s="831"/>
      <c r="U6" s="832"/>
      <c r="V6" s="1365"/>
      <c r="W6" s="1366"/>
      <c r="X6" s="1366"/>
      <c r="Y6" s="1366"/>
      <c r="Z6" s="1366"/>
      <c r="AA6" s="1366"/>
      <c r="AB6" s="1366"/>
      <c r="AC6" s="1367"/>
      <c r="AD6" s="1365"/>
      <c r="AE6" s="1366"/>
      <c r="AF6" s="1366"/>
      <c r="AG6" s="1366"/>
      <c r="AH6" s="1366"/>
      <c r="AI6" s="1366"/>
      <c r="AJ6" s="1366"/>
      <c r="AK6" s="1366"/>
      <c r="AL6" s="1367"/>
      <c r="AM6" s="833"/>
      <c r="AO6" s="79"/>
      <c r="AP6" s="79" t="str">
        <f t="shared" si="0"/>
        <v/>
      </c>
      <c r="AQ6" s="79"/>
      <c r="AR6" s="79"/>
    </row>
    <row r="7" spans="1:44" ht="21" hidden="1" customHeight="1">
      <c r="A7" s="822"/>
      <c r="B7" s="822"/>
      <c r="C7" s="822"/>
      <c r="D7" s="822"/>
      <c r="E7" s="1338"/>
      <c r="F7" s="1338"/>
      <c r="G7" s="1338"/>
      <c r="H7" s="1338"/>
      <c r="I7" s="1340"/>
      <c r="J7" s="1339" t="e">
        <f>I6&amp;".1"</f>
        <v>#N/A</v>
      </c>
      <c r="K7" s="822"/>
      <c r="L7" s="823" t="s">
        <v>1471</v>
      </c>
      <c r="M7" s="72"/>
      <c r="N7" s="72"/>
      <c r="P7" s="1259"/>
      <c r="Q7" s="1259">
        <v>1</v>
      </c>
      <c r="R7" s="222"/>
      <c r="S7" s="755" t="e">
        <f>$J7</f>
        <v>#N/A</v>
      </c>
      <c r="T7" s="173" t="s">
        <v>1472</v>
      </c>
      <c r="U7" s="179"/>
      <c r="V7" s="1326"/>
      <c r="W7" s="1327"/>
      <c r="X7" s="1327"/>
      <c r="Y7" s="1327"/>
      <c r="Z7" s="1327"/>
      <c r="AA7" s="1327"/>
      <c r="AB7" s="1327"/>
      <c r="AC7" s="1328"/>
      <c r="AD7" s="1326"/>
      <c r="AE7" s="1327"/>
      <c r="AF7" s="1327"/>
      <c r="AG7" s="1327"/>
      <c r="AH7" s="1327"/>
      <c r="AI7" s="1327"/>
      <c r="AJ7" s="1327"/>
      <c r="AK7" s="1327"/>
      <c r="AL7" s="1328"/>
      <c r="AM7" s="782" t="s">
        <v>1473</v>
      </c>
      <c r="AO7" s="79"/>
      <c r="AP7" s="79" t="str">
        <f t="shared" si="0"/>
        <v>Группа потребителей</v>
      </c>
      <c r="AQ7" s="79"/>
      <c r="AR7" s="79"/>
    </row>
    <row r="8" spans="1:44" ht="21" hidden="1" customHeight="1">
      <c r="A8" s="822"/>
      <c r="B8" s="822"/>
      <c r="C8" s="822"/>
      <c r="D8" s="822"/>
      <c r="E8" s="1338"/>
      <c r="F8" s="1338"/>
      <c r="G8" s="1338"/>
      <c r="H8" s="1338"/>
      <c r="I8" s="1340"/>
      <c r="J8" s="1340"/>
      <c r="K8" s="1339" t="e">
        <f>J7&amp;".1"</f>
        <v>#N/A</v>
      </c>
      <c r="L8" s="823" t="s">
        <v>1474</v>
      </c>
      <c r="M8" s="72"/>
      <c r="N8" s="72"/>
      <c r="O8" s="72"/>
      <c r="P8" s="1259"/>
      <c r="Q8" s="1259"/>
      <c r="R8" s="222">
        <v>1</v>
      </c>
      <c r="S8" s="755" t="e">
        <f>$K8</f>
        <v>#N/A</v>
      </c>
      <c r="T8" s="821"/>
      <c r="U8" s="179"/>
      <c r="V8" s="1054"/>
      <c r="W8" s="1055"/>
      <c r="X8" s="1054"/>
      <c r="Y8" s="1056"/>
      <c r="Z8" s="1341"/>
      <c r="AA8" s="1133" t="s">
        <v>67</v>
      </c>
      <c r="AB8" s="1341"/>
      <c r="AC8" s="1133" t="s">
        <v>67</v>
      </c>
      <c r="AD8" s="1054"/>
      <c r="AE8" s="1055"/>
      <c r="AF8" s="1054"/>
      <c r="AG8" s="1056"/>
      <c r="AH8" s="1341"/>
      <c r="AI8" s="1133" t="s">
        <v>67</v>
      </c>
      <c r="AJ8" s="1341"/>
      <c r="AK8" s="1133" t="s">
        <v>67</v>
      </c>
      <c r="AL8" s="1055"/>
      <c r="AM8" s="1359" t="s">
        <v>1475</v>
      </c>
      <c r="AN8" s="77" t="e">
        <f ca="1">STRCHECKDATE(V9:AL9)</f>
        <v>#NAME?</v>
      </c>
      <c r="AO8" s="79"/>
      <c r="AP8" s="79" t="str">
        <f t="shared" si="0"/>
        <v/>
      </c>
      <c r="AQ8" s="79"/>
      <c r="AR8" s="79"/>
    </row>
    <row r="9" spans="1:44" ht="0.75" hidden="1" customHeight="1">
      <c r="A9" s="822"/>
      <c r="B9" s="822"/>
      <c r="C9" s="822"/>
      <c r="D9" s="822"/>
      <c r="E9" s="1338"/>
      <c r="F9" s="1338"/>
      <c r="G9" s="1338"/>
      <c r="H9" s="1338"/>
      <c r="I9" s="1340"/>
      <c r="J9" s="1340"/>
      <c r="K9" s="1339"/>
      <c r="L9" s="823"/>
      <c r="M9" s="72"/>
      <c r="N9" s="72"/>
      <c r="O9" s="72"/>
      <c r="P9" s="1259"/>
      <c r="Q9" s="1259"/>
      <c r="R9" s="222"/>
      <c r="S9" s="74"/>
      <c r="T9" s="179"/>
      <c r="U9" s="179"/>
      <c r="V9" s="1055"/>
      <c r="W9" s="1055"/>
      <c r="X9" s="1055"/>
      <c r="Y9" s="1057" t="str">
        <f>Z8&amp;"-"&amp;AB8</f>
        <v>-</v>
      </c>
      <c r="Z9" s="1342"/>
      <c r="AA9" s="1133"/>
      <c r="AB9" s="1342"/>
      <c r="AC9" s="1133"/>
      <c r="AD9" s="1055"/>
      <c r="AE9" s="1055"/>
      <c r="AF9" s="1055"/>
      <c r="AG9" s="1057" t="str">
        <f>AH8&amp;"-"&amp;AJ8</f>
        <v>-</v>
      </c>
      <c r="AH9" s="1342"/>
      <c r="AI9" s="1133"/>
      <c r="AJ9" s="1342"/>
      <c r="AK9" s="1133"/>
      <c r="AL9" s="1055"/>
      <c r="AM9" s="1360"/>
      <c r="AO9" s="79"/>
      <c r="AP9" s="79" t="str">
        <f t="shared" si="0"/>
        <v/>
      </c>
      <c r="AQ9" s="79"/>
      <c r="AR9" s="79"/>
    </row>
    <row r="10" spans="1:44" ht="15" hidden="1" customHeight="1">
      <c r="A10" s="822"/>
      <c r="B10" s="822"/>
      <c r="C10" s="822"/>
      <c r="D10" s="822"/>
      <c r="E10" s="1338"/>
      <c r="F10" s="1338"/>
      <c r="G10" s="1338"/>
      <c r="H10" s="1338"/>
      <c r="I10" s="1340"/>
      <c r="J10" s="1339"/>
      <c r="K10" s="822"/>
      <c r="L10" s="823"/>
      <c r="M10" s="72"/>
      <c r="N10" s="72"/>
      <c r="P10" s="1259"/>
      <c r="Q10" s="1259"/>
      <c r="R10" s="221"/>
      <c r="S10" s="796"/>
      <c r="T10" s="174" t="s">
        <v>1476</v>
      </c>
      <c r="U10" s="228"/>
      <c r="V10" s="228"/>
      <c r="W10" s="228"/>
      <c r="X10" s="228"/>
      <c r="Y10" s="228"/>
      <c r="Z10" s="228"/>
      <c r="AA10" s="228"/>
      <c r="AB10" s="228"/>
      <c r="AC10" s="228"/>
      <c r="AD10" s="228"/>
      <c r="AE10" s="228"/>
      <c r="AF10" s="228"/>
      <c r="AG10" s="228"/>
      <c r="AH10" s="228"/>
      <c r="AI10" s="228"/>
      <c r="AJ10" s="228"/>
      <c r="AK10" s="228"/>
      <c r="AL10" s="204"/>
      <c r="AM10" s="1361"/>
      <c r="AO10" s="79"/>
      <c r="AP10" s="79" t="str">
        <f t="shared" si="0"/>
        <v>Добавить вид теплоносителя (параметры теплоносителя)</v>
      </c>
      <c r="AQ10" s="79"/>
      <c r="AR10" s="79"/>
    </row>
    <row r="11" spans="1:44" ht="15" hidden="1" customHeight="1">
      <c r="A11" s="822"/>
      <c r="B11" s="822"/>
      <c r="C11" s="822"/>
      <c r="D11" s="822"/>
      <c r="E11" s="1338"/>
      <c r="F11" s="1338"/>
      <c r="G11" s="1338"/>
      <c r="H11" s="1338"/>
      <c r="I11" s="1339"/>
      <c r="J11" s="822"/>
      <c r="K11" s="822"/>
      <c r="L11" s="823"/>
      <c r="M11" s="72"/>
      <c r="P11" s="1259"/>
      <c r="Q11" s="127"/>
      <c r="R11" s="221"/>
      <c r="S11" s="796"/>
      <c r="T11" s="226" t="s">
        <v>1477</v>
      </c>
      <c r="U11" s="228"/>
      <c r="V11" s="228"/>
      <c r="W11" s="228"/>
      <c r="X11" s="228"/>
      <c r="Y11" s="228"/>
      <c r="Z11" s="228"/>
      <c r="AA11" s="228"/>
      <c r="AB11" s="228"/>
      <c r="AC11" s="205"/>
      <c r="AD11" s="228"/>
      <c r="AE11" s="228"/>
      <c r="AF11" s="228"/>
      <c r="AG11" s="228"/>
      <c r="AH11" s="228"/>
      <c r="AI11" s="228"/>
      <c r="AJ11" s="228"/>
      <c r="AK11" s="205"/>
      <c r="AL11" s="228"/>
      <c r="AM11" s="182"/>
      <c r="AO11" s="79"/>
      <c r="AP11" s="79" t="str">
        <f t="shared" si="0"/>
        <v>Добавить группу потребителей</v>
      </c>
      <c r="AQ11" s="79"/>
      <c r="AR11" s="79"/>
    </row>
    <row r="12" spans="1:44" ht="14.25" hidden="1" customHeight="1">
      <c r="A12" s="822"/>
      <c r="B12" s="822"/>
      <c r="C12" s="822"/>
      <c r="D12" s="822"/>
      <c r="E12" s="1338"/>
      <c r="F12" s="1338"/>
      <c r="G12" s="1338"/>
      <c r="H12" s="1337"/>
      <c r="I12" s="822"/>
      <c r="J12" s="822"/>
      <c r="K12" s="822"/>
      <c r="L12" s="823"/>
      <c r="M12" s="452"/>
      <c r="N12" s="452"/>
      <c r="O12" s="72"/>
      <c r="P12" s="43"/>
      <c r="Q12" s="231"/>
      <c r="R12" s="220"/>
      <c r="S12" s="834"/>
      <c r="T12" s="835"/>
      <c r="U12" s="836"/>
      <c r="V12" s="836"/>
      <c r="W12" s="836"/>
      <c r="X12" s="836"/>
      <c r="Y12" s="836"/>
      <c r="Z12" s="836"/>
      <c r="AA12" s="836"/>
      <c r="AB12" s="836"/>
      <c r="AC12" s="836"/>
      <c r="AD12" s="836"/>
      <c r="AE12" s="836"/>
      <c r="AF12" s="836"/>
      <c r="AG12" s="836"/>
      <c r="AH12" s="836"/>
      <c r="AI12" s="836"/>
      <c r="AJ12" s="836"/>
      <c r="AK12" s="836"/>
      <c r="AL12" s="836"/>
      <c r="AM12" s="837"/>
      <c r="AO12" s="79"/>
      <c r="AP12" s="79" t="str">
        <f t="shared" si="0"/>
        <v/>
      </c>
      <c r="AQ12" s="79"/>
      <c r="AR12" s="79"/>
    </row>
    <row r="13" spans="1:44" s="77" customFormat="1" ht="0.75" hidden="1" customHeight="1">
      <c r="A13" s="150"/>
      <c r="B13" s="150"/>
      <c r="C13" s="150"/>
      <c r="D13" s="150"/>
      <c r="E13" s="1338"/>
      <c r="F13" s="1338"/>
      <c r="G13" s="1337"/>
      <c r="H13" s="150"/>
      <c r="I13" s="150"/>
      <c r="J13" s="150"/>
      <c r="K13" s="150"/>
      <c r="L13" s="373"/>
      <c r="M13" s="318"/>
      <c r="N13" s="318"/>
      <c r="P13" s="111"/>
      <c r="Q13" s="811"/>
      <c r="R13" s="111"/>
      <c r="S13" s="812"/>
      <c r="T13" s="813" t="s">
        <v>1437</v>
      </c>
      <c r="U13" s="814"/>
      <c r="V13" s="814"/>
      <c r="W13" s="814"/>
      <c r="X13" s="814"/>
      <c r="Y13" s="814"/>
      <c r="Z13" s="814"/>
      <c r="AA13" s="814"/>
      <c r="AB13" s="814"/>
      <c r="AC13" s="814"/>
      <c r="AD13" s="814"/>
      <c r="AE13" s="814"/>
      <c r="AF13" s="814"/>
      <c r="AG13" s="814"/>
      <c r="AH13" s="814"/>
      <c r="AI13" s="814"/>
      <c r="AJ13" s="814"/>
      <c r="AK13" s="814"/>
      <c r="AL13" s="814"/>
      <c r="AM13" s="814"/>
      <c r="AO13" s="79"/>
      <c r="AP13" s="79" t="str">
        <f t="shared" si="0"/>
        <v>Добавить источник для дифференциации</v>
      </c>
      <c r="AQ13" s="79"/>
      <c r="AR13" s="79"/>
    </row>
    <row r="14" spans="1:44" s="77" customFormat="1" ht="0.75" hidden="1" customHeight="1">
      <c r="A14" s="150"/>
      <c r="B14" s="150"/>
      <c r="C14" s="150"/>
      <c r="D14" s="150"/>
      <c r="E14" s="1338"/>
      <c r="F14" s="1337"/>
      <c r="G14" s="150"/>
      <c r="H14" s="150"/>
      <c r="I14" s="150"/>
      <c r="J14" s="150"/>
      <c r="K14" s="150"/>
      <c r="L14" s="373"/>
      <c r="M14" s="815"/>
      <c r="N14" s="815"/>
      <c r="P14" s="111"/>
      <c r="Q14" s="811"/>
      <c r="R14" s="111"/>
      <c r="S14" s="816"/>
      <c r="T14" s="817" t="s">
        <v>1438</v>
      </c>
      <c r="U14" s="338"/>
      <c r="V14" s="338"/>
      <c r="W14" s="338"/>
      <c r="X14" s="338"/>
      <c r="Y14" s="338"/>
      <c r="Z14" s="338"/>
      <c r="AA14" s="338"/>
      <c r="AB14" s="338"/>
      <c r="AC14" s="338"/>
      <c r="AD14" s="338"/>
      <c r="AE14" s="338"/>
      <c r="AF14" s="338"/>
      <c r="AG14" s="338"/>
      <c r="AH14" s="338"/>
      <c r="AI14" s="338"/>
      <c r="AJ14" s="338"/>
      <c r="AK14" s="338"/>
      <c r="AL14" s="338"/>
      <c r="AM14" s="338"/>
      <c r="AO14" s="79"/>
      <c r="AP14" s="79" t="str">
        <f t="shared" si="0"/>
        <v>Добавить централизованную систему для дифференциации</v>
      </c>
      <c r="AQ14" s="79"/>
      <c r="AR14" s="79"/>
    </row>
    <row r="15" spans="1:44" s="77" customFormat="1" ht="0.75" hidden="1" customHeight="1">
      <c r="A15" s="150"/>
      <c r="B15" s="150"/>
      <c r="C15" s="150"/>
      <c r="D15" s="150"/>
      <c r="E15" s="1337"/>
      <c r="F15" s="150"/>
      <c r="G15" s="150"/>
      <c r="H15" s="150"/>
      <c r="I15" s="150"/>
      <c r="J15" s="150"/>
      <c r="K15" s="150"/>
      <c r="L15" s="373"/>
      <c r="M15" s="815"/>
      <c r="N15" s="815"/>
      <c r="P15" s="111"/>
      <c r="Q15" s="811"/>
      <c r="R15" s="111"/>
      <c r="S15" s="816"/>
      <c r="T15" s="818" t="s">
        <v>1439</v>
      </c>
      <c r="U15" s="338"/>
      <c r="V15" s="338"/>
      <c r="W15" s="338"/>
      <c r="X15" s="338"/>
      <c r="Y15" s="338"/>
      <c r="Z15" s="338"/>
      <c r="AA15" s="338"/>
      <c r="AB15" s="338"/>
      <c r="AC15" s="338"/>
      <c r="AD15" s="338"/>
      <c r="AE15" s="338"/>
      <c r="AF15" s="338"/>
      <c r="AG15" s="338"/>
      <c r="AH15" s="338"/>
      <c r="AI15" s="338"/>
      <c r="AJ15" s="338"/>
      <c r="AK15" s="338"/>
      <c r="AL15" s="338"/>
      <c r="AM15" s="338"/>
      <c r="AO15" s="79"/>
      <c r="AP15" s="79" t="str">
        <f t="shared" si="0"/>
        <v>Добавить территорию для дифференциации</v>
      </c>
      <c r="AQ15" s="79"/>
      <c r="AR15" s="79"/>
    </row>
    <row r="16" spans="1:44" ht="14.25" hidden="1" customHeight="1"/>
    <row r="17" spans="1:44" ht="14.25" hidden="1" customHeight="1">
      <c r="AD17" s="1058"/>
      <c r="AE17" s="1058"/>
      <c r="AF17" s="1058"/>
      <c r="AG17" s="1059"/>
      <c r="AH17" s="1335"/>
      <c r="AI17" s="1334" t="s">
        <v>67</v>
      </c>
      <c r="AJ17" s="1335"/>
      <c r="AK17" s="1334" t="s">
        <v>67</v>
      </c>
    </row>
    <row r="18" spans="1:44" ht="14.25" hidden="1" customHeight="1">
      <c r="AD18" s="1058"/>
      <c r="AE18" s="1058"/>
      <c r="AF18" s="1058"/>
      <c r="AG18" s="1057" t="str">
        <f>AH17&amp;"-"&amp;AJ17</f>
        <v>-</v>
      </c>
      <c r="AH18" s="1334"/>
      <c r="AI18" s="1334"/>
      <c r="AJ18" s="1334"/>
      <c r="AK18" s="1334"/>
    </row>
    <row r="19" spans="1:44" ht="14.25" hidden="1" customHeight="1"/>
    <row r="20" spans="1:44" s="72" customFormat="1" ht="22.5" hidden="1" customHeight="1">
      <c r="L20" s="388"/>
      <c r="M20" s="541"/>
      <c r="N20" s="541"/>
      <c r="O20" s="824" t="s">
        <v>1479</v>
      </c>
      <c r="P20" s="541"/>
      <c r="Q20" s="825"/>
      <c r="R20" s="825"/>
      <c r="S20" s="452"/>
      <c r="Z20" s="824"/>
      <c r="AB20" s="824"/>
      <c r="AH20" s="824"/>
      <c r="AJ20" s="824"/>
      <c r="AN20" s="77"/>
      <c r="AO20" s="77"/>
      <c r="AP20" s="77"/>
      <c r="AQ20" s="77"/>
      <c r="AR20" s="77"/>
    </row>
    <row r="21" spans="1:44" s="72" customFormat="1" ht="14.25" hidden="1" customHeight="1">
      <c r="L21" s="388"/>
      <c r="M21" s="541"/>
      <c r="N21" s="541"/>
      <c r="O21" s="541"/>
      <c r="P21" s="541"/>
      <c r="Q21" s="825"/>
      <c r="R21" s="825"/>
      <c r="S21" s="452"/>
      <c r="AN21" s="77"/>
      <c r="AO21" s="77"/>
      <c r="AP21" s="77"/>
      <c r="AQ21" s="77"/>
      <c r="AR21" s="77"/>
    </row>
    <row r="22" spans="1:44" s="72" customFormat="1" ht="14.25" hidden="1" customHeight="1">
      <c r="L22" s="388"/>
      <c r="M22" s="541"/>
      <c r="N22" s="541"/>
      <c r="O22" s="823" t="s">
        <v>1480</v>
      </c>
      <c r="P22" s="541"/>
      <c r="Q22" s="825"/>
      <c r="R22" s="825"/>
      <c r="S22" s="452"/>
      <c r="T22" s="72" t="s">
        <v>1481</v>
      </c>
      <c r="AA22" s="91" t="s">
        <v>1482</v>
      </c>
      <c r="AC22" s="91" t="s">
        <v>1483</v>
      </c>
      <c r="AD22" s="72" t="s">
        <v>1481</v>
      </c>
      <c r="AI22" s="91" t="s">
        <v>1484</v>
      </c>
      <c r="AK22" s="91" t="s">
        <v>1483</v>
      </c>
      <c r="AN22" s="77"/>
      <c r="AO22" s="77"/>
      <c r="AP22" s="77"/>
      <c r="AQ22" s="77"/>
      <c r="AR22" s="77"/>
    </row>
    <row r="23" spans="1:44" ht="14.25" hidden="1" customHeight="1">
      <c r="O23" s="823"/>
    </row>
    <row r="24" spans="1:44" ht="14.25" hidden="1" customHeight="1">
      <c r="O24" s="823"/>
    </row>
    <row r="25" spans="1:44" ht="14.25" customHeight="1">
      <c r="Q25" s="36"/>
      <c r="R25" s="36"/>
      <c r="S25" s="793"/>
      <c r="T25" s="25"/>
      <c r="U25" s="25"/>
    </row>
    <row r="26" spans="1:44" ht="64.5" customHeight="1">
      <c r="Q26" s="36"/>
      <c r="R26" s="36"/>
      <c r="S26" s="1181" t="str">
        <f>IF(TEMPLATE_GROUP="P",PT_P_FORM_HEAT_5_NAME_FORM,PT_R_FORM_HEAT_22_NAME_FORM)</f>
        <v>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v>
      </c>
      <c r="T26" s="1181"/>
      <c r="U26" s="1181"/>
      <c r="V26" s="1181"/>
      <c r="W26" s="1181"/>
      <c r="X26" s="1181"/>
      <c r="Y26" s="1181"/>
      <c r="Z26" s="1181"/>
      <c r="AA26" s="1181"/>
      <c r="AB26" s="1181"/>
      <c r="AC26" s="1181"/>
      <c r="AD26" s="1181"/>
      <c r="AE26" s="1181"/>
      <c r="AF26" s="1181"/>
      <c r="AG26" s="1181"/>
      <c r="AH26" s="1181"/>
      <c r="AI26" s="1181"/>
      <c r="AJ26" s="1181"/>
      <c r="AK26" s="69"/>
    </row>
    <row r="27" spans="1:44" ht="14.25" customHeight="1">
      <c r="Q27" s="36"/>
      <c r="R27" s="36"/>
      <c r="S27" s="1204" t="str">
        <f>IF(org=0,"Не определено",org)</f>
        <v>ООО "ТЕПЛО ПЛЮС"</v>
      </c>
      <c r="T27" s="1204"/>
      <c r="U27" s="1204"/>
      <c r="V27" s="1204"/>
      <c r="W27" s="1204"/>
      <c r="X27" s="1204"/>
      <c r="Y27" s="1204"/>
      <c r="Z27" s="1204"/>
      <c r="AA27" s="1204"/>
      <c r="AB27" s="1204"/>
      <c r="AC27" s="1204"/>
      <c r="AD27" s="1204"/>
      <c r="AE27" s="1204"/>
      <c r="AF27" s="1204"/>
      <c r="AG27" s="1204"/>
      <c r="AH27" s="1204"/>
      <c r="AI27" s="1204"/>
      <c r="AJ27" s="1204"/>
      <c r="AK27" s="69"/>
    </row>
    <row r="28" spans="1:44" ht="14.25" hidden="1" customHeight="1">
      <c r="Q28" s="36"/>
      <c r="R28" s="36"/>
      <c r="S28" s="793"/>
      <c r="T28" s="25"/>
      <c r="U28" s="25"/>
      <c r="V28" s="202"/>
      <c r="W28" s="202"/>
      <c r="X28" s="202"/>
      <c r="Y28" s="202"/>
      <c r="Z28" s="202"/>
      <c r="AA28" s="202"/>
      <c r="AB28" s="202"/>
      <c r="AC28" s="202"/>
      <c r="AD28" s="202"/>
      <c r="AE28" s="202"/>
      <c r="AF28" s="202"/>
      <c r="AG28" s="202"/>
      <c r="AH28" s="202"/>
      <c r="AI28" s="202"/>
      <c r="AJ28" s="202"/>
      <c r="AK28" s="202"/>
    </row>
    <row r="29" spans="1:44" s="44" customFormat="1" ht="25.5" hidden="1" customHeight="1">
      <c r="A29" s="91"/>
      <c r="B29" s="91"/>
      <c r="C29" s="91"/>
      <c r="D29" s="91"/>
      <c r="E29" s="91"/>
      <c r="F29" s="91"/>
      <c r="G29" s="91"/>
      <c r="H29" s="91"/>
      <c r="I29" s="91"/>
      <c r="J29" s="91"/>
      <c r="K29" s="91"/>
      <c r="L29" s="823"/>
      <c r="M29" s="91"/>
      <c r="N29" s="91"/>
      <c r="O29" s="91"/>
      <c r="S29" s="1329" t="s">
        <v>39</v>
      </c>
      <c r="T29" s="1329"/>
      <c r="U29" s="826"/>
      <c r="V29" s="1330" t="str">
        <f>IF(TITLE_NAME_OR_PR_CHANGE="",IF(TITLE_NAME_OR_PR="","",TITLE_NAME_OR_PR),TITLE_NAME_OR_PR_CHANGE)</f>
        <v/>
      </c>
      <c r="W29" s="1330"/>
      <c r="X29" s="1330"/>
      <c r="Y29" s="1330"/>
      <c r="Z29" s="1330"/>
      <c r="AA29" s="1330"/>
      <c r="AB29" s="1330"/>
      <c r="AC29" s="24"/>
      <c r="AD29" s="1330" t="str">
        <f>IF(TITLE_NAME_OR_PR_CHANGE="",IF(TITLE_NAME_OR_PR="","",TITLE_NAME_OR_PR),TITLE_NAME_OR_PR_CHANGE)</f>
        <v/>
      </c>
      <c r="AE29" s="1330"/>
      <c r="AF29" s="1330"/>
      <c r="AG29" s="1330"/>
      <c r="AH29" s="1330"/>
      <c r="AI29" s="1330"/>
      <c r="AJ29" s="1330"/>
      <c r="AK29" s="24"/>
      <c r="AL29" s="24"/>
      <c r="AM29" s="171"/>
      <c r="AN29" s="79"/>
      <c r="AO29" s="79"/>
      <c r="AP29" s="79"/>
      <c r="AQ29" s="79"/>
      <c r="AR29" s="79"/>
    </row>
    <row r="30" spans="1:44" s="44" customFormat="1" ht="18.75" hidden="1" customHeight="1">
      <c r="A30" s="91"/>
      <c r="B30" s="91"/>
      <c r="C30" s="91"/>
      <c r="D30" s="91"/>
      <c r="E30" s="91"/>
      <c r="F30" s="91"/>
      <c r="G30" s="91"/>
      <c r="H30" s="91"/>
      <c r="I30" s="91"/>
      <c r="J30" s="91"/>
      <c r="K30" s="91"/>
      <c r="L30" s="823"/>
      <c r="M30" s="91"/>
      <c r="N30" s="91"/>
      <c r="O30" s="91"/>
      <c r="S30" s="1329" t="s">
        <v>1485</v>
      </c>
      <c r="T30" s="1329"/>
      <c r="U30" s="826"/>
      <c r="V30" s="1330" t="str">
        <f>IF(TITLE_DATE_CHANGE_PERIOD="",IF(TITLE_DATE_PR="","",TITLE_DATE_PR),TITLE_DATE_CHANGE_PERIOD)</f>
        <v/>
      </c>
      <c r="W30" s="1330"/>
      <c r="X30" s="1330"/>
      <c r="Y30" s="1330"/>
      <c r="Z30" s="1330"/>
      <c r="AA30" s="1330"/>
      <c r="AB30" s="1330"/>
      <c r="AC30" s="24"/>
      <c r="AD30" s="1330" t="str">
        <f>IF(TITLE_DATE_CHANGE_PERIOD="",IF(TITLE_DATE_PR="","",TITLE_DATE_PR),TITLE_DATE_CHANGE_PERIOD)</f>
        <v/>
      </c>
      <c r="AE30" s="1330"/>
      <c r="AF30" s="1330"/>
      <c r="AG30" s="1330"/>
      <c r="AH30" s="1330"/>
      <c r="AI30" s="1330"/>
      <c r="AJ30" s="1330"/>
      <c r="AK30" s="24"/>
      <c r="AL30" s="24"/>
      <c r="AM30" s="171"/>
      <c r="AN30" s="79"/>
      <c r="AO30" s="79"/>
      <c r="AP30" s="79"/>
      <c r="AQ30" s="79"/>
      <c r="AR30" s="79"/>
    </row>
    <row r="31" spans="1:44" s="44" customFormat="1" ht="18.75" hidden="1" customHeight="1">
      <c r="A31" s="91"/>
      <c r="B31" s="91"/>
      <c r="C31" s="91"/>
      <c r="D31" s="91"/>
      <c r="E31" s="91"/>
      <c r="F31" s="91"/>
      <c r="G31" s="91"/>
      <c r="H31" s="91"/>
      <c r="I31" s="91"/>
      <c r="J31" s="91"/>
      <c r="K31" s="91"/>
      <c r="L31" s="823"/>
      <c r="M31" s="91"/>
      <c r="N31" s="91"/>
      <c r="O31" s="91"/>
      <c r="S31" s="1329" t="s">
        <v>1486</v>
      </c>
      <c r="T31" s="1329"/>
      <c r="U31" s="826"/>
      <c r="V31" s="1330" t="str">
        <f>IF(TITLE_NUMBER_PR_CHANGE="",IF(TITLE_NUMBER_PR="","",TITLE_NUMBER_PR),TITLE_NUMBER_PR_CHANGE)</f>
        <v/>
      </c>
      <c r="W31" s="1330"/>
      <c r="X31" s="1330"/>
      <c r="Y31" s="1330"/>
      <c r="Z31" s="1330"/>
      <c r="AA31" s="1330"/>
      <c r="AB31" s="1330"/>
      <c r="AC31" s="24"/>
      <c r="AD31" s="1330" t="str">
        <f>IF(TITLE_NUMBER_PR_CHANGE="",IF(TITLE_NUMBER_PR="","",TITLE_NUMBER_PR),TITLE_NUMBER_PR_CHANGE)</f>
        <v/>
      </c>
      <c r="AE31" s="1330"/>
      <c r="AF31" s="1330"/>
      <c r="AG31" s="1330"/>
      <c r="AH31" s="1330"/>
      <c r="AI31" s="1330"/>
      <c r="AJ31" s="1330"/>
      <c r="AK31" s="24"/>
      <c r="AL31" s="24"/>
      <c r="AM31" s="171"/>
      <c r="AN31" s="79"/>
      <c r="AO31" s="79"/>
      <c r="AP31" s="79"/>
      <c r="AQ31" s="79"/>
      <c r="AR31" s="79"/>
    </row>
    <row r="32" spans="1:44" s="44" customFormat="1" ht="18.75" hidden="1" customHeight="1">
      <c r="A32" s="91"/>
      <c r="B32" s="91"/>
      <c r="C32" s="91"/>
      <c r="D32" s="91"/>
      <c r="E32" s="91"/>
      <c r="F32" s="91"/>
      <c r="G32" s="91"/>
      <c r="H32" s="91"/>
      <c r="I32" s="91"/>
      <c r="J32" s="91"/>
      <c r="K32" s="91"/>
      <c r="L32" s="823"/>
      <c r="M32" s="91"/>
      <c r="N32" s="91"/>
      <c r="O32" s="91"/>
      <c r="S32" s="1329" t="s">
        <v>40</v>
      </c>
      <c r="T32" s="1329"/>
      <c r="U32" s="826"/>
      <c r="V32" s="1330" t="str">
        <f>IF(TITLE_IST_PUB_CHANGE="",IF(TITLE_IST_PUB="","",TITLE_IST_PUB),TITLE_IST_PUB_CHANGE)</f>
        <v/>
      </c>
      <c r="W32" s="1330"/>
      <c r="X32" s="1330"/>
      <c r="Y32" s="1330"/>
      <c r="Z32" s="1330"/>
      <c r="AA32" s="1330"/>
      <c r="AB32" s="1330"/>
      <c r="AC32" s="24"/>
      <c r="AD32" s="1330" t="str">
        <f>IF(TITLE_IST_PUB_CHANGE="",IF(TITLE_IST_PUB="","",TITLE_IST_PUB),TITLE_IST_PUB_CHANGE)</f>
        <v/>
      </c>
      <c r="AE32" s="1330"/>
      <c r="AF32" s="1330"/>
      <c r="AG32" s="1330"/>
      <c r="AH32" s="1330"/>
      <c r="AI32" s="1330"/>
      <c r="AJ32" s="1330"/>
      <c r="AK32" s="24"/>
      <c r="AL32" s="24"/>
      <c r="AM32" s="171"/>
      <c r="AN32" s="79"/>
      <c r="AO32" s="79"/>
      <c r="AP32" s="79"/>
      <c r="AQ32" s="79"/>
      <c r="AR32" s="79"/>
    </row>
    <row r="33" spans="1:44" ht="14.25" hidden="1" customHeight="1">
      <c r="Q33" s="36"/>
      <c r="R33" s="36"/>
      <c r="S33" s="793"/>
      <c r="T33" s="25"/>
      <c r="U33" s="25"/>
      <c r="V33" s="202"/>
      <c r="W33" s="202"/>
      <c r="X33" s="202"/>
      <c r="Y33" s="202"/>
      <c r="Z33" s="202"/>
      <c r="AA33" s="202"/>
      <c r="AB33" s="202"/>
      <c r="AC33" s="202"/>
      <c r="AD33" s="202"/>
      <c r="AE33" s="202"/>
      <c r="AF33" s="202"/>
      <c r="AG33" s="202"/>
      <c r="AH33" s="202"/>
      <c r="AI33" s="202"/>
      <c r="AJ33" s="202"/>
      <c r="AK33" s="202"/>
    </row>
    <row r="34" spans="1:44" s="44" customFormat="1" ht="18.75" hidden="1" customHeight="1">
      <c r="A34" s="91"/>
      <c r="B34" s="91"/>
      <c r="C34" s="91"/>
      <c r="D34" s="91"/>
      <c r="E34" s="91"/>
      <c r="F34" s="91"/>
      <c r="G34" s="91"/>
      <c r="H34" s="91"/>
      <c r="I34" s="91"/>
      <c r="J34" s="91"/>
      <c r="K34" s="91"/>
      <c r="L34" s="823"/>
      <c r="M34" s="91"/>
      <c r="N34" s="91"/>
      <c r="O34" s="91"/>
      <c r="S34" s="1329" t="s">
        <v>1487</v>
      </c>
      <c r="T34" s="1329"/>
      <c r="U34" s="826"/>
      <c r="V34" s="1330" t="str">
        <f>IF(TITLE_DATE_CHANGE_PERIOD="",IF(TITLE_DATE_PR="","",TITLE_DATE_PR),TITLE_DATE_CHANGE_PERIOD)</f>
        <v/>
      </c>
      <c r="W34" s="1330"/>
      <c r="X34" s="1330"/>
      <c r="Y34" s="1330"/>
      <c r="Z34" s="1330"/>
      <c r="AA34" s="1330"/>
      <c r="AB34" s="1330"/>
      <c r="AC34" s="24"/>
      <c r="AD34" s="1330" t="str">
        <f>IF(TITLE_DATE_CHANGE_PERIOD="",IF(TITLE_DATE_PR="","",TITLE_DATE_PR),TITLE_DATE_CHANGE_PERIOD)</f>
        <v/>
      </c>
      <c r="AE34" s="1330"/>
      <c r="AF34" s="1330"/>
      <c r="AG34" s="1330"/>
      <c r="AH34" s="1330"/>
      <c r="AI34" s="1330"/>
      <c r="AJ34" s="1330"/>
      <c r="AK34" s="24"/>
      <c r="AL34" s="24"/>
      <c r="AM34" s="171"/>
      <c r="AN34" s="79"/>
      <c r="AO34" s="79"/>
      <c r="AP34" s="79"/>
      <c r="AQ34" s="79"/>
      <c r="AR34" s="79"/>
    </row>
    <row r="35" spans="1:44" s="44" customFormat="1" ht="25.5" hidden="1" customHeight="1">
      <c r="A35" s="91"/>
      <c r="B35" s="91"/>
      <c r="C35" s="91"/>
      <c r="D35" s="91"/>
      <c r="E35" s="91"/>
      <c r="F35" s="91"/>
      <c r="G35" s="91"/>
      <c r="H35" s="91"/>
      <c r="I35" s="91"/>
      <c r="J35" s="91"/>
      <c r="K35" s="91"/>
      <c r="L35" s="823"/>
      <c r="M35" s="91"/>
      <c r="N35" s="91"/>
      <c r="O35" s="91"/>
      <c r="S35" s="1329" t="s">
        <v>1488</v>
      </c>
      <c r="T35" s="1329"/>
      <c r="U35" s="826"/>
      <c r="V35" s="1330" t="str">
        <f>IF(TITLE_NUMBER_PR_CHANGE="",IF(TITLE_NUMBER_PR="","",TITLE_NUMBER_PR),TITLE_NUMBER_PR_CHANGE)</f>
        <v/>
      </c>
      <c r="W35" s="1330"/>
      <c r="X35" s="1330"/>
      <c r="Y35" s="1330"/>
      <c r="Z35" s="1330"/>
      <c r="AA35" s="1330"/>
      <c r="AB35" s="1330"/>
      <c r="AC35" s="24"/>
      <c r="AD35" s="1330" t="str">
        <f>IF(TITLE_NUMBER_PR_CHANGE="",IF(TITLE_NUMBER_PR="","",TITLE_NUMBER_PR),TITLE_NUMBER_PR_CHANGE)</f>
        <v/>
      </c>
      <c r="AE35" s="1330"/>
      <c r="AF35" s="1330"/>
      <c r="AG35" s="1330"/>
      <c r="AH35" s="1330"/>
      <c r="AI35" s="1330"/>
      <c r="AJ35" s="1330"/>
      <c r="AK35" s="24"/>
      <c r="AL35" s="24"/>
      <c r="AM35" s="171"/>
      <c r="AN35" s="79"/>
      <c r="AO35" s="79"/>
      <c r="AP35" s="79"/>
      <c r="AQ35" s="79"/>
      <c r="AR35" s="79"/>
    </row>
    <row r="36" spans="1:44" s="44" customFormat="1" ht="0" hidden="1" customHeight="1">
      <c r="A36" s="91"/>
      <c r="B36" s="91"/>
      <c r="C36" s="91"/>
      <c r="D36" s="91"/>
      <c r="E36" s="91"/>
      <c r="F36" s="91"/>
      <c r="G36" s="91"/>
      <c r="H36" s="91"/>
      <c r="I36" s="91"/>
      <c r="J36" s="91"/>
      <c r="K36" s="91"/>
      <c r="L36" s="823"/>
      <c r="M36" s="91"/>
      <c r="N36" s="91"/>
      <c r="O36" s="91"/>
      <c r="S36" s="24"/>
      <c r="T36" s="24"/>
      <c r="U36" s="87"/>
      <c r="V36" s="24"/>
      <c r="W36" s="24"/>
      <c r="X36" s="24"/>
      <c r="Y36" s="24"/>
      <c r="Z36" s="24"/>
      <c r="AA36" s="24"/>
      <c r="AB36" s="24"/>
      <c r="AC36" s="77" t="s">
        <v>1489</v>
      </c>
      <c r="AD36" s="24"/>
      <c r="AE36" s="24"/>
      <c r="AF36" s="24"/>
      <c r="AG36" s="24"/>
      <c r="AH36" s="24"/>
      <c r="AI36" s="24"/>
      <c r="AJ36" s="24"/>
      <c r="AK36" s="77" t="s">
        <v>1489</v>
      </c>
      <c r="AN36" s="79"/>
      <c r="AO36" s="79"/>
      <c r="AP36" s="79"/>
      <c r="AQ36" s="79"/>
      <c r="AR36" s="79"/>
    </row>
    <row r="37" spans="1:44" ht="14.25" customHeight="1">
      <c r="Q37" s="36"/>
      <c r="R37" s="36"/>
      <c r="S37" s="793"/>
      <c r="T37" s="25"/>
      <c r="U37" s="766"/>
      <c r="V37" s="1348"/>
      <c r="W37" s="1348"/>
      <c r="X37" s="1348"/>
      <c r="Y37" s="1348"/>
      <c r="Z37" s="1348"/>
      <c r="AA37" s="1348"/>
      <c r="AB37" s="1348"/>
      <c r="AC37" s="1348"/>
      <c r="AD37" s="1348"/>
      <c r="AE37" s="1348"/>
      <c r="AF37" s="1348"/>
      <c r="AG37" s="1348"/>
      <c r="AH37" s="1348"/>
      <c r="AI37" s="1348"/>
      <c r="AJ37" s="1348"/>
      <c r="AK37" s="1348"/>
    </row>
    <row r="38" spans="1:44" ht="14.25" customHeight="1">
      <c r="Q38" s="36"/>
      <c r="R38" s="36"/>
      <c r="S38" s="1123" t="s">
        <v>292</v>
      </c>
      <c r="T38" s="1123"/>
      <c r="U38" s="1123"/>
      <c r="V38" s="1123"/>
      <c r="W38" s="1123"/>
      <c r="X38" s="1123"/>
      <c r="Y38" s="1123"/>
      <c r="Z38" s="1123"/>
      <c r="AA38" s="1123"/>
      <c r="AB38" s="1123"/>
      <c r="AC38" s="1123"/>
      <c r="AD38" s="1123"/>
      <c r="AE38" s="1123"/>
      <c r="AF38" s="1123"/>
      <c r="AG38" s="1123"/>
      <c r="AH38" s="1123"/>
      <c r="AI38" s="1123"/>
      <c r="AJ38" s="1123"/>
      <c r="AK38" s="1123"/>
      <c r="AL38" s="1123"/>
      <c r="AM38" s="1123" t="s">
        <v>293</v>
      </c>
    </row>
    <row r="39" spans="1:44" ht="14.25" customHeight="1">
      <c r="Q39" s="36"/>
      <c r="R39" s="36"/>
      <c r="S39" s="1349" t="s">
        <v>88</v>
      </c>
      <c r="T39" s="1213" t="s">
        <v>1490</v>
      </c>
      <c r="U39" s="180"/>
      <c r="V39" s="1350" t="s">
        <v>1491</v>
      </c>
      <c r="W39" s="1351"/>
      <c r="X39" s="1351"/>
      <c r="Y39" s="1351"/>
      <c r="Z39" s="1351"/>
      <c r="AA39" s="1351"/>
      <c r="AB39" s="1352"/>
      <c r="AC39" s="1353" t="s">
        <v>1492</v>
      </c>
      <c r="AD39" s="1350" t="s">
        <v>1491</v>
      </c>
      <c r="AE39" s="1351"/>
      <c r="AF39" s="1351"/>
      <c r="AG39" s="1351"/>
      <c r="AH39" s="1351"/>
      <c r="AI39" s="1351"/>
      <c r="AJ39" s="1352"/>
      <c r="AK39" s="1353" t="s">
        <v>1493</v>
      </c>
      <c r="AL39" s="1356" t="s">
        <v>1494</v>
      </c>
      <c r="AM39" s="1123"/>
    </row>
    <row r="40" spans="1:44" ht="33.75" customHeight="1">
      <c r="Q40" s="36"/>
      <c r="R40" s="36"/>
      <c r="S40" s="1349"/>
      <c r="T40" s="1213"/>
      <c r="U40" s="647"/>
      <c r="V40" s="1182" t="s">
        <v>1495</v>
      </c>
      <c r="W40" s="1345"/>
      <c r="X40" s="1105" t="s">
        <v>1497</v>
      </c>
      <c r="Y40" s="1104"/>
      <c r="Z40" s="1105" t="s">
        <v>1498</v>
      </c>
      <c r="AA40" s="1110"/>
      <c r="AB40" s="1104"/>
      <c r="AC40" s="1354"/>
      <c r="AD40" s="1182" t="s">
        <v>1495</v>
      </c>
      <c r="AE40" s="1345"/>
      <c r="AF40" s="1105" t="s">
        <v>1497</v>
      </c>
      <c r="AG40" s="1104"/>
      <c r="AH40" s="1105" t="s">
        <v>1498</v>
      </c>
      <c r="AI40" s="1110"/>
      <c r="AJ40" s="1104"/>
      <c r="AK40" s="1354"/>
      <c r="AL40" s="1357"/>
      <c r="AM40" s="1123"/>
    </row>
    <row r="41" spans="1:44" ht="33.75" customHeight="1">
      <c r="A41" s="91"/>
      <c r="B41" s="91" t="s">
        <v>136</v>
      </c>
      <c r="C41" s="91" t="s">
        <v>137</v>
      </c>
      <c r="D41" s="91" t="s">
        <v>138</v>
      </c>
      <c r="E41" s="823" t="s">
        <v>1499</v>
      </c>
      <c r="F41" s="823" t="s">
        <v>1500</v>
      </c>
      <c r="G41" s="823" t="s">
        <v>1501</v>
      </c>
      <c r="H41" s="823" t="s">
        <v>1502</v>
      </c>
      <c r="I41" s="823" t="s">
        <v>1503</v>
      </c>
      <c r="J41" s="823" t="s">
        <v>1504</v>
      </c>
      <c r="K41" s="823" t="s">
        <v>1505</v>
      </c>
      <c r="L41" s="823" t="s">
        <v>1480</v>
      </c>
      <c r="Q41" s="36"/>
      <c r="R41" s="36"/>
      <c r="S41" s="1349"/>
      <c r="T41" s="1213"/>
      <c r="U41" s="181"/>
      <c r="V41" s="1238"/>
      <c r="W41" s="1346"/>
      <c r="X41" s="48" t="s">
        <v>1506</v>
      </c>
      <c r="Y41" s="48" t="s">
        <v>1507</v>
      </c>
      <c r="Z41" s="48" t="s">
        <v>1508</v>
      </c>
      <c r="AA41" s="1219" t="s">
        <v>1509</v>
      </c>
      <c r="AB41" s="1233"/>
      <c r="AC41" s="1355"/>
      <c r="AD41" s="1238"/>
      <c r="AE41" s="1346"/>
      <c r="AF41" s="48" t="s">
        <v>1506</v>
      </c>
      <c r="AG41" s="48" t="s">
        <v>1507</v>
      </c>
      <c r="AH41" s="48" t="s">
        <v>1508</v>
      </c>
      <c r="AI41" s="1219" t="s">
        <v>1509</v>
      </c>
      <c r="AJ41" s="1233"/>
      <c r="AK41" s="1355"/>
      <c r="AL41" s="1358"/>
      <c r="AM41" s="1123"/>
    </row>
    <row r="42" spans="1:44" s="216" customFormat="1" ht="11.25" hidden="1" customHeight="1">
      <c r="A42" s="91"/>
      <c r="B42" s="91"/>
      <c r="C42" s="91"/>
      <c r="D42" s="91"/>
      <c r="E42" s="91"/>
      <c r="F42" s="91"/>
      <c r="G42" s="91"/>
      <c r="H42" s="91"/>
      <c r="I42" s="91"/>
      <c r="J42" s="91"/>
      <c r="K42" s="91"/>
      <c r="L42" s="823"/>
      <c r="M42" s="541"/>
      <c r="N42" s="541"/>
      <c r="O42" s="541"/>
      <c r="P42" s="768"/>
      <c r="Q42" s="769"/>
      <c r="R42" s="777">
        <v>1</v>
      </c>
      <c r="S42" s="795" t="s">
        <v>109</v>
      </c>
      <c r="T42" s="778" t="s">
        <v>110</v>
      </c>
      <c r="U42" s="767" t="str">
        <f ca="1">OFFSET(U42,0,-1)</f>
        <v>2</v>
      </c>
      <c r="V42" s="779">
        <f ca="1">OFFSET(V42,0,-1)+1</f>
        <v>3</v>
      </c>
      <c r="W42" s="779"/>
      <c r="X42" s="779">
        <f ca="1">OFFSET(X42,0,-1)+1</f>
        <v>1</v>
      </c>
      <c r="Y42" s="779">
        <f ca="1">OFFSET(Y42,0,-1)+1</f>
        <v>2</v>
      </c>
      <c r="Z42" s="779">
        <f ca="1">OFFSET(Z42,0,-1)+1</f>
        <v>3</v>
      </c>
      <c r="AA42" s="1347">
        <f ca="1">OFFSET(AA42,0,-1)+1</f>
        <v>4</v>
      </c>
      <c r="AB42" s="1347"/>
      <c r="AC42" s="779">
        <f ca="1">OFFSET(AC42,0,-2)+1</f>
        <v>5</v>
      </c>
      <c r="AD42" s="779">
        <f ca="1">OFFSET(AD42,0,-1)+1</f>
        <v>6</v>
      </c>
      <c r="AE42" s="779"/>
      <c r="AF42" s="779">
        <f ca="1">OFFSET(AF42,0,-1)+1</f>
        <v>1</v>
      </c>
      <c r="AG42" s="779">
        <f ca="1">OFFSET(AG42,0,-1)+1</f>
        <v>2</v>
      </c>
      <c r="AH42" s="779">
        <f ca="1">OFFSET(AH42,0,-1)+1</f>
        <v>3</v>
      </c>
      <c r="AI42" s="1347">
        <f ca="1">OFFSET(AI42,0,-1)+1</f>
        <v>4</v>
      </c>
      <c r="AJ42" s="1347"/>
      <c r="AK42" s="779">
        <f ca="1">OFFSET(AK42,0,-2)+1</f>
        <v>5</v>
      </c>
      <c r="AL42" s="767">
        <f ca="1">OFFSET(AL42,0,-1)</f>
        <v>5</v>
      </c>
      <c r="AM42" s="779">
        <f ca="1">OFFSET(AM42,0,-1)+1</f>
        <v>6</v>
      </c>
      <c r="AN42" s="77"/>
      <c r="AO42" s="77"/>
      <c r="AP42" s="77"/>
      <c r="AQ42" s="77"/>
      <c r="AR42" s="77"/>
    </row>
    <row r="43" spans="1:44" ht="21" customHeight="1">
      <c r="A43" s="822" t="s">
        <v>189</v>
      </c>
      <c r="B43" s="822"/>
      <c r="C43" s="822"/>
      <c r="D43" s="822"/>
      <c r="E43" s="1337">
        <v>1</v>
      </c>
      <c r="F43" s="822"/>
      <c r="G43" s="822"/>
      <c r="H43" s="822"/>
      <c r="I43" s="822"/>
      <c r="J43" s="822"/>
      <c r="K43" s="822"/>
      <c r="L43" s="823"/>
      <c r="M43" s="452"/>
      <c r="N43" s="452"/>
      <c r="O43" s="452"/>
      <c r="Q43" s="43"/>
      <c r="R43" s="220"/>
      <c r="S43" s="755">
        <f>INDEX(PT_DIFFERENTIATION_NUM_NTAR,MATCH(A43,PT_DIFFERENTIATION_NTAR_ID,0))</f>
        <v>0</v>
      </c>
      <c r="T43" s="76" t="s">
        <v>124</v>
      </c>
      <c r="U43" s="179"/>
      <c r="V43" s="1331"/>
      <c r="W43" s="1332"/>
      <c r="X43" s="1332"/>
      <c r="Y43" s="1332"/>
      <c r="Z43" s="1332"/>
      <c r="AA43" s="1332"/>
      <c r="AB43" s="1332"/>
      <c r="AC43" s="1333"/>
      <c r="AD43" s="1331" t="str">
        <f>INDEX(PT_DIFFERENTIATION_NTAR,MATCH(A43,PT_DIFFERENTIATION_NTAR_ID,0))</f>
        <v/>
      </c>
      <c r="AE43" s="1332"/>
      <c r="AF43" s="1332"/>
      <c r="AG43" s="1332"/>
      <c r="AH43" s="1332"/>
      <c r="AI43" s="1332"/>
      <c r="AJ43" s="1332"/>
      <c r="AK43" s="1332"/>
      <c r="AL43" s="1333"/>
      <c r="AM43" s="782" t="s">
        <v>1461</v>
      </c>
      <c r="AO43" s="79"/>
      <c r="AP43" s="79" t="str">
        <f t="shared" ref="AP43:AP57" si="1">IF(T43="","",T43)</f>
        <v>Наименование тарифа</v>
      </c>
      <c r="AQ43" s="79"/>
      <c r="AR43" s="79"/>
    </row>
    <row r="44" spans="1:44" ht="21" customHeight="1">
      <c r="A44" s="822" t="s">
        <v>189</v>
      </c>
      <c r="B44" s="822" t="s">
        <v>190</v>
      </c>
      <c r="C44" s="822"/>
      <c r="D44" s="822"/>
      <c r="E44" s="1338"/>
      <c r="F44" s="1337">
        <v>1</v>
      </c>
      <c r="G44" s="822"/>
      <c r="H44" s="822"/>
      <c r="I44" s="822"/>
      <c r="J44" s="822"/>
      <c r="K44" s="822"/>
      <c r="L44" s="823"/>
      <c r="M44" s="452"/>
      <c r="N44" s="452"/>
      <c r="O44" s="452"/>
      <c r="P44" s="68"/>
      <c r="Q44" s="217"/>
      <c r="R44" s="218"/>
      <c r="S44" s="755" t="str">
        <f>INDEX(PT_DIFFERENTIATION_NUM_TER,MATCH(B44,PT_DIFFERENTIATION_TER_ID,0))</f>
        <v>.</v>
      </c>
      <c r="T44" s="187" t="s">
        <v>1462</v>
      </c>
      <c r="U44" s="179"/>
      <c r="V44" s="1331"/>
      <c r="W44" s="1332"/>
      <c r="X44" s="1332"/>
      <c r="Y44" s="1332"/>
      <c r="Z44" s="1332"/>
      <c r="AA44" s="1332"/>
      <c r="AB44" s="1332"/>
      <c r="AC44" s="1333"/>
      <c r="AD44" s="1331" t="str">
        <f>INDEX(PT_DIFFERENTIATION_TER,MATCH(B44,PT_DIFFERENTIATION_TER_ID,0))</f>
        <v/>
      </c>
      <c r="AE44" s="1332"/>
      <c r="AF44" s="1332"/>
      <c r="AG44" s="1332"/>
      <c r="AH44" s="1332"/>
      <c r="AI44" s="1332"/>
      <c r="AJ44" s="1332"/>
      <c r="AK44" s="1332"/>
      <c r="AL44" s="1333"/>
      <c r="AM44" s="782" t="s">
        <v>1463</v>
      </c>
      <c r="AO44" s="79"/>
      <c r="AP44" s="79" t="str">
        <f t="shared" si="1"/>
        <v>Территория действия тарифа</v>
      </c>
      <c r="AQ44" s="79"/>
      <c r="AR44" s="79"/>
    </row>
    <row r="45" spans="1:44" ht="23.25" customHeight="1">
      <c r="A45" s="822" t="s">
        <v>189</v>
      </c>
      <c r="B45" s="822" t="s">
        <v>190</v>
      </c>
      <c r="C45" s="822" t="s">
        <v>191</v>
      </c>
      <c r="D45" s="822"/>
      <c r="E45" s="1338"/>
      <c r="F45" s="1338"/>
      <c r="G45" s="1337">
        <v>1</v>
      </c>
      <c r="H45" s="822"/>
      <c r="I45" s="822"/>
      <c r="J45" s="822"/>
      <c r="K45" s="822"/>
      <c r="L45" s="823"/>
      <c r="M45" s="452"/>
      <c r="N45" s="452"/>
      <c r="O45" s="452"/>
      <c r="P45" s="219"/>
      <c r="Q45" s="217"/>
      <c r="R45" s="218"/>
      <c r="S45" s="755" t="str">
        <f>INDEX(PT_DIFFERENTIATION_NUM_CS,MATCH(C45,PT_DIFFERENTIATION_CS_ID,0))</f>
        <v>..</v>
      </c>
      <c r="T45" s="188" t="s">
        <v>1464</v>
      </c>
      <c r="U45" s="179"/>
      <c r="V45" s="1331"/>
      <c r="W45" s="1332"/>
      <c r="X45" s="1332"/>
      <c r="Y45" s="1332"/>
      <c r="Z45" s="1332"/>
      <c r="AA45" s="1332"/>
      <c r="AB45" s="1332"/>
      <c r="AC45" s="1333"/>
      <c r="AD45" s="1331" t="str">
        <f>INDEX(PT_DIFFERENTIATION_CS,MATCH(C45,PT_DIFFERENTIATION_CS_ID,0))</f>
        <v/>
      </c>
      <c r="AE45" s="1332"/>
      <c r="AF45" s="1332"/>
      <c r="AG45" s="1332"/>
      <c r="AH45" s="1332"/>
      <c r="AI45" s="1332"/>
      <c r="AJ45" s="1332"/>
      <c r="AK45" s="1332"/>
      <c r="AL45" s="1333"/>
      <c r="AM45" s="782" t="s">
        <v>1465</v>
      </c>
      <c r="AO45" s="79"/>
      <c r="AP45" s="79" t="str">
        <f t="shared" si="1"/>
        <v xml:space="preserve">Наименование системы теплоснабжения </v>
      </c>
      <c r="AQ45" s="79"/>
      <c r="AR45" s="79"/>
    </row>
    <row r="46" spans="1:44" ht="21" customHeight="1">
      <c r="A46" s="822" t="s">
        <v>189</v>
      </c>
      <c r="B46" s="822" t="s">
        <v>190</v>
      </c>
      <c r="C46" s="822" t="s">
        <v>191</v>
      </c>
      <c r="D46" s="822" t="s">
        <v>192</v>
      </c>
      <c r="E46" s="1338"/>
      <c r="F46" s="1338"/>
      <c r="G46" s="1338"/>
      <c r="H46" s="1337">
        <v>1</v>
      </c>
      <c r="I46" s="822"/>
      <c r="J46" s="822"/>
      <c r="K46" s="822"/>
      <c r="L46" s="823"/>
      <c r="M46" s="452"/>
      <c r="N46" s="452"/>
      <c r="O46" s="452"/>
      <c r="P46" s="219"/>
      <c r="Q46" s="217"/>
      <c r="R46" s="218"/>
      <c r="S46" s="755" t="str">
        <f>INDEX(PT_DIFFERENTIATION_NUM_IST_TE,MATCH(D46,PT_DIFFERENTIATION_IST_TE_ID,0))</f>
        <v>...</v>
      </c>
      <c r="T46" s="189" t="s">
        <v>1466</v>
      </c>
      <c r="U46" s="179"/>
      <c r="V46" s="1331"/>
      <c r="W46" s="1332"/>
      <c r="X46" s="1332"/>
      <c r="Y46" s="1332"/>
      <c r="Z46" s="1332"/>
      <c r="AA46" s="1332"/>
      <c r="AB46" s="1332"/>
      <c r="AC46" s="1333"/>
      <c r="AD46" s="1331" t="str">
        <f>INDEX(PT_DIFFERENTIATION_IST_TE,MATCH(D46,PT_DIFFERENTIATION_IST_TE_ID,0))</f>
        <v/>
      </c>
      <c r="AE46" s="1332"/>
      <c r="AF46" s="1332"/>
      <c r="AG46" s="1332"/>
      <c r="AH46" s="1332"/>
      <c r="AI46" s="1332"/>
      <c r="AJ46" s="1332"/>
      <c r="AK46" s="1332"/>
      <c r="AL46" s="1333"/>
      <c r="AM46" s="782" t="s">
        <v>1467</v>
      </c>
      <c r="AO46" s="79"/>
      <c r="AP46" s="79" t="str">
        <f t="shared" si="1"/>
        <v xml:space="preserve">Источник тепловой энергии  </v>
      </c>
      <c r="AQ46" s="79"/>
      <c r="AR46" s="79"/>
    </row>
    <row r="47" spans="1:44" s="77" customFormat="1" ht="0" hidden="1" customHeight="1">
      <c r="A47" s="150" t="s">
        <v>189</v>
      </c>
      <c r="B47" s="150" t="s">
        <v>190</v>
      </c>
      <c r="C47" s="150" t="s">
        <v>191</v>
      </c>
      <c r="D47" s="150" t="s">
        <v>192</v>
      </c>
      <c r="E47" s="1338"/>
      <c r="F47" s="1338"/>
      <c r="G47" s="1338"/>
      <c r="H47" s="1338"/>
      <c r="I47" s="1339" t="str">
        <f>S46&amp;".1"</f>
        <v>....1</v>
      </c>
      <c r="J47" s="150"/>
      <c r="K47" s="150"/>
      <c r="L47" s="373" t="s">
        <v>1468</v>
      </c>
      <c r="M47" s="235"/>
      <c r="N47" s="235"/>
      <c r="O47" s="235"/>
      <c r="P47" s="1259">
        <v>1</v>
      </c>
      <c r="Q47" s="127"/>
      <c r="R47" s="221"/>
      <c r="S47" s="389"/>
      <c r="T47" s="831"/>
      <c r="U47" s="832"/>
      <c r="V47" s="1365"/>
      <c r="W47" s="1366"/>
      <c r="X47" s="1366"/>
      <c r="Y47" s="1366"/>
      <c r="Z47" s="1366"/>
      <c r="AA47" s="1366"/>
      <c r="AB47" s="1366"/>
      <c r="AC47" s="1367"/>
      <c r="AD47" s="1365"/>
      <c r="AE47" s="1366"/>
      <c r="AF47" s="1366"/>
      <c r="AG47" s="1366"/>
      <c r="AH47" s="1366"/>
      <c r="AI47" s="1366"/>
      <c r="AJ47" s="1366"/>
      <c r="AK47" s="1366"/>
      <c r="AL47" s="1367"/>
      <c r="AM47" s="833"/>
      <c r="AO47" s="79"/>
      <c r="AP47" s="79" t="str">
        <f t="shared" si="1"/>
        <v/>
      </c>
      <c r="AQ47" s="79"/>
      <c r="AR47" s="79"/>
    </row>
    <row r="48" spans="1:44" ht="21" customHeight="1">
      <c r="A48" s="822" t="s">
        <v>189</v>
      </c>
      <c r="B48" s="822" t="s">
        <v>190</v>
      </c>
      <c r="C48" s="822" t="s">
        <v>191</v>
      </c>
      <c r="D48" s="822" t="s">
        <v>192</v>
      </c>
      <c r="E48" s="1338"/>
      <c r="F48" s="1338"/>
      <c r="G48" s="1338"/>
      <c r="H48" s="1338"/>
      <c r="I48" s="1340"/>
      <c r="J48" s="1339" t="str">
        <f>S46&amp;".1"</f>
        <v>....1</v>
      </c>
      <c r="K48" s="822"/>
      <c r="L48" s="823" t="s">
        <v>1471</v>
      </c>
      <c r="P48" s="1259"/>
      <c r="Q48" s="1259">
        <v>1</v>
      </c>
      <c r="R48" s="222"/>
      <c r="S48" s="755" t="str">
        <f>$J48</f>
        <v>....1</v>
      </c>
      <c r="T48" s="173" t="s">
        <v>1472</v>
      </c>
      <c r="U48" s="179"/>
      <c r="V48" s="1326"/>
      <c r="W48" s="1327"/>
      <c r="X48" s="1327"/>
      <c r="Y48" s="1327"/>
      <c r="Z48" s="1327"/>
      <c r="AA48" s="1327"/>
      <c r="AB48" s="1327"/>
      <c r="AC48" s="1328"/>
      <c r="AD48" s="1326"/>
      <c r="AE48" s="1327"/>
      <c r="AF48" s="1327"/>
      <c r="AG48" s="1327"/>
      <c r="AH48" s="1327"/>
      <c r="AI48" s="1327"/>
      <c r="AJ48" s="1327"/>
      <c r="AK48" s="1327"/>
      <c r="AL48" s="1328"/>
      <c r="AM48" s="782" t="s">
        <v>1473</v>
      </c>
      <c r="AO48" s="79"/>
      <c r="AP48" s="79" t="str">
        <f t="shared" si="1"/>
        <v>Группа потребителей</v>
      </c>
      <c r="AQ48" s="79"/>
      <c r="AR48" s="79"/>
    </row>
    <row r="49" spans="1:44" ht="21" customHeight="1">
      <c r="A49" s="822" t="s">
        <v>189</v>
      </c>
      <c r="B49" s="822" t="s">
        <v>190</v>
      </c>
      <c r="C49" s="822" t="s">
        <v>191</v>
      </c>
      <c r="D49" s="822" t="s">
        <v>192</v>
      </c>
      <c r="E49" s="1338"/>
      <c r="F49" s="1338"/>
      <c r="G49" s="1338"/>
      <c r="H49" s="1338"/>
      <c r="I49" s="1340"/>
      <c r="J49" s="1340"/>
      <c r="K49" s="1339" t="str">
        <f>J48&amp;".1"</f>
        <v>....1.1</v>
      </c>
      <c r="L49" s="823" t="s">
        <v>1474</v>
      </c>
      <c r="P49" s="1259"/>
      <c r="Q49" s="1259"/>
      <c r="R49" s="222">
        <v>1</v>
      </c>
      <c r="S49" s="755" t="str">
        <f>$K49</f>
        <v>....1.1</v>
      </c>
      <c r="T49" s="821"/>
      <c r="U49" s="179"/>
      <c r="V49" s="1054"/>
      <c r="W49" s="1055"/>
      <c r="X49" s="1054"/>
      <c r="Y49" s="1056"/>
      <c r="Z49" s="1341"/>
      <c r="AA49" s="1133" t="s">
        <v>67</v>
      </c>
      <c r="AB49" s="1341"/>
      <c r="AC49" s="1133" t="s">
        <v>67</v>
      </c>
      <c r="AD49" s="1054"/>
      <c r="AE49" s="1055"/>
      <c r="AF49" s="1054"/>
      <c r="AG49" s="1056"/>
      <c r="AH49" s="1341"/>
      <c r="AI49" s="1133" t="s">
        <v>67</v>
      </c>
      <c r="AJ49" s="1343"/>
      <c r="AK49" s="1133" t="s">
        <v>67</v>
      </c>
      <c r="AL49" s="1060"/>
      <c r="AM49" s="1359" t="s">
        <v>1518</v>
      </c>
      <c r="AN49" s="77" t="e">
        <f ca="1">STRCHECKDATE(V50:AL50)</f>
        <v>#NAME?</v>
      </c>
      <c r="AO49" s="79"/>
      <c r="AP49" s="79" t="str">
        <f t="shared" si="1"/>
        <v/>
      </c>
      <c r="AQ49" s="79"/>
      <c r="AR49" s="79"/>
    </row>
    <row r="50" spans="1:44" ht="0.75" customHeight="1">
      <c r="A50" s="822" t="s">
        <v>189</v>
      </c>
      <c r="B50" s="822" t="s">
        <v>190</v>
      </c>
      <c r="C50" s="822" t="s">
        <v>191</v>
      </c>
      <c r="D50" s="822" t="s">
        <v>192</v>
      </c>
      <c r="E50" s="1338"/>
      <c r="F50" s="1338"/>
      <c r="G50" s="1338"/>
      <c r="H50" s="1338"/>
      <c r="I50" s="1340"/>
      <c r="J50" s="1340"/>
      <c r="K50" s="1339"/>
      <c r="L50" s="823"/>
      <c r="P50" s="1259"/>
      <c r="Q50" s="1259"/>
      <c r="R50" s="222"/>
      <c r="S50" s="74"/>
      <c r="T50" s="179"/>
      <c r="U50" s="179"/>
      <c r="V50" s="1055"/>
      <c r="W50" s="1055"/>
      <c r="X50" s="1055"/>
      <c r="Y50" s="1057" t="str">
        <f>Z49&amp;"-"&amp;AB49</f>
        <v>-</v>
      </c>
      <c r="Z50" s="1342"/>
      <c r="AA50" s="1133"/>
      <c r="AB50" s="1342"/>
      <c r="AC50" s="1133"/>
      <c r="AD50" s="1055"/>
      <c r="AE50" s="1055"/>
      <c r="AF50" s="1055"/>
      <c r="AG50" s="1057" t="str">
        <f>AH49&amp;"-"&amp;AJ49</f>
        <v>-</v>
      </c>
      <c r="AH50" s="1342"/>
      <c r="AI50" s="1133"/>
      <c r="AJ50" s="1344"/>
      <c r="AK50" s="1133"/>
      <c r="AL50" s="1061"/>
      <c r="AM50" s="1360"/>
      <c r="AO50" s="79"/>
      <c r="AP50" s="79" t="str">
        <f t="shared" si="1"/>
        <v/>
      </c>
      <c r="AQ50" s="79"/>
      <c r="AR50" s="79"/>
    </row>
    <row r="51" spans="1:44" ht="11.25" customHeight="1">
      <c r="A51" s="822" t="s">
        <v>189</v>
      </c>
      <c r="B51" s="822" t="s">
        <v>190</v>
      </c>
      <c r="C51" s="822" t="s">
        <v>191</v>
      </c>
      <c r="D51" s="822" t="s">
        <v>192</v>
      </c>
      <c r="E51" s="1338"/>
      <c r="F51" s="1338"/>
      <c r="G51" s="1338"/>
      <c r="H51" s="1338"/>
      <c r="I51" s="1340"/>
      <c r="J51" s="1339"/>
      <c r="K51" s="822"/>
      <c r="L51" s="823"/>
      <c r="P51" s="1259"/>
      <c r="Q51" s="1259"/>
      <c r="R51" s="221"/>
      <c r="S51" s="796"/>
      <c r="T51" s="174" t="s">
        <v>1476</v>
      </c>
      <c r="U51" s="228"/>
      <c r="V51" s="228"/>
      <c r="W51" s="228"/>
      <c r="X51" s="228"/>
      <c r="Y51" s="228"/>
      <c r="Z51" s="228"/>
      <c r="AA51" s="228"/>
      <c r="AB51" s="228"/>
      <c r="AC51" s="228"/>
      <c r="AD51" s="228"/>
      <c r="AE51" s="228"/>
      <c r="AF51" s="228"/>
      <c r="AG51" s="228"/>
      <c r="AH51" s="228"/>
      <c r="AI51" s="228"/>
      <c r="AJ51" s="228"/>
      <c r="AK51" s="228"/>
      <c r="AL51" s="204"/>
      <c r="AM51" s="1361"/>
      <c r="AO51" s="79"/>
      <c r="AP51" s="79" t="str">
        <f t="shared" si="1"/>
        <v>Добавить вид теплоносителя (параметры теплоносителя)</v>
      </c>
      <c r="AQ51" s="79"/>
      <c r="AR51" s="79"/>
    </row>
    <row r="52" spans="1:44" ht="11.25" customHeight="1">
      <c r="A52" s="822" t="s">
        <v>189</v>
      </c>
      <c r="B52" s="822" t="s">
        <v>190</v>
      </c>
      <c r="C52" s="822" t="s">
        <v>191</v>
      </c>
      <c r="D52" s="822" t="s">
        <v>192</v>
      </c>
      <c r="E52" s="1338"/>
      <c r="F52" s="1338"/>
      <c r="G52" s="1338"/>
      <c r="H52" s="1338"/>
      <c r="I52" s="1339"/>
      <c r="J52" s="822"/>
      <c r="K52" s="822"/>
      <c r="L52" s="823"/>
      <c r="P52" s="1259"/>
      <c r="Q52" s="127"/>
      <c r="R52" s="221"/>
      <c r="S52" s="796"/>
      <c r="T52" s="226" t="s">
        <v>1477</v>
      </c>
      <c r="U52" s="228"/>
      <c r="V52" s="228"/>
      <c r="W52" s="228"/>
      <c r="X52" s="228"/>
      <c r="Y52" s="228"/>
      <c r="Z52" s="228"/>
      <c r="AA52" s="228"/>
      <c r="AB52" s="228"/>
      <c r="AC52" s="205"/>
      <c r="AD52" s="228"/>
      <c r="AE52" s="228"/>
      <c r="AF52" s="228"/>
      <c r="AG52" s="228"/>
      <c r="AH52" s="228"/>
      <c r="AI52" s="228"/>
      <c r="AJ52" s="228"/>
      <c r="AK52" s="205"/>
      <c r="AL52" s="228"/>
      <c r="AM52" s="182"/>
      <c r="AO52" s="79"/>
      <c r="AP52" s="79" t="str">
        <f t="shared" si="1"/>
        <v>Добавить группу потребителей</v>
      </c>
      <c r="AQ52" s="79"/>
      <c r="AR52" s="79"/>
    </row>
    <row r="53" spans="1:44" ht="0" hidden="1" customHeight="1">
      <c r="A53" s="822" t="s">
        <v>189</v>
      </c>
      <c r="B53" s="822" t="s">
        <v>190</v>
      </c>
      <c r="C53" s="822" t="s">
        <v>191</v>
      </c>
      <c r="D53" s="822" t="s">
        <v>192</v>
      </c>
      <c r="E53" s="1338"/>
      <c r="F53" s="1338"/>
      <c r="G53" s="1338"/>
      <c r="H53" s="1337"/>
      <c r="I53" s="822"/>
      <c r="J53" s="822"/>
      <c r="K53" s="822"/>
      <c r="L53" s="823"/>
      <c r="M53" s="452"/>
      <c r="N53" s="452"/>
      <c r="O53" s="72"/>
      <c r="P53" s="43"/>
      <c r="Q53" s="231"/>
      <c r="R53" s="220"/>
      <c r="S53" s="834"/>
      <c r="T53" s="835"/>
      <c r="U53" s="836"/>
      <c r="V53" s="836"/>
      <c r="W53" s="836"/>
      <c r="X53" s="836"/>
      <c r="Y53" s="836"/>
      <c r="Z53" s="836"/>
      <c r="AA53" s="836"/>
      <c r="AB53" s="836"/>
      <c r="AC53" s="836"/>
      <c r="AD53" s="836"/>
      <c r="AE53" s="836"/>
      <c r="AF53" s="836"/>
      <c r="AG53" s="836"/>
      <c r="AH53" s="836"/>
      <c r="AI53" s="836"/>
      <c r="AJ53" s="836"/>
      <c r="AK53" s="836"/>
      <c r="AL53" s="836"/>
      <c r="AM53" s="837"/>
      <c r="AO53" s="79"/>
      <c r="AP53" s="79" t="str">
        <f t="shared" si="1"/>
        <v/>
      </c>
      <c r="AQ53" s="79"/>
      <c r="AR53" s="79"/>
    </row>
    <row r="54" spans="1:44" s="77" customFormat="1" ht="0.75" customHeight="1">
      <c r="A54" s="150" t="s">
        <v>189</v>
      </c>
      <c r="B54" s="150" t="s">
        <v>190</v>
      </c>
      <c r="C54" s="150" t="s">
        <v>191</v>
      </c>
      <c r="D54" s="150"/>
      <c r="E54" s="1338"/>
      <c r="F54" s="1338"/>
      <c r="G54" s="1337"/>
      <c r="H54" s="150"/>
      <c r="I54" s="150"/>
      <c r="J54" s="150"/>
      <c r="K54" s="150"/>
      <c r="L54" s="373"/>
      <c r="M54" s="318"/>
      <c r="N54" s="318"/>
      <c r="P54" s="111"/>
      <c r="Q54" s="811"/>
      <c r="R54" s="111"/>
      <c r="S54" s="816"/>
      <c r="T54" s="818" t="s">
        <v>1437</v>
      </c>
      <c r="U54" s="338"/>
      <c r="V54" s="338"/>
      <c r="W54" s="338"/>
      <c r="X54" s="338"/>
      <c r="Y54" s="338"/>
      <c r="Z54" s="338"/>
      <c r="AA54" s="338"/>
      <c r="AB54" s="338"/>
      <c r="AC54" s="338"/>
      <c r="AD54" s="338"/>
      <c r="AE54" s="338"/>
      <c r="AF54" s="338"/>
      <c r="AG54" s="338"/>
      <c r="AH54" s="338"/>
      <c r="AI54" s="338"/>
      <c r="AJ54" s="338"/>
      <c r="AK54" s="338"/>
      <c r="AL54" s="338"/>
      <c r="AM54" s="338"/>
      <c r="AO54" s="79"/>
      <c r="AP54" s="79" t="str">
        <f t="shared" si="1"/>
        <v>Добавить источник для дифференциации</v>
      </c>
      <c r="AQ54" s="79"/>
      <c r="AR54" s="79"/>
    </row>
    <row r="55" spans="1:44" s="77" customFormat="1" ht="0.75" customHeight="1">
      <c r="A55" s="150" t="s">
        <v>189</v>
      </c>
      <c r="B55" s="150" t="s">
        <v>190</v>
      </c>
      <c r="C55" s="150"/>
      <c r="D55" s="150"/>
      <c r="E55" s="1338"/>
      <c r="F55" s="1337"/>
      <c r="G55" s="150"/>
      <c r="H55" s="150"/>
      <c r="I55" s="150"/>
      <c r="J55" s="150"/>
      <c r="K55" s="150"/>
      <c r="L55" s="373"/>
      <c r="M55" s="815"/>
      <c r="N55" s="815"/>
      <c r="P55" s="111"/>
      <c r="Q55" s="811"/>
      <c r="R55" s="111"/>
      <c r="S55" s="816"/>
      <c r="T55" s="818" t="s">
        <v>1438</v>
      </c>
      <c r="U55" s="338"/>
      <c r="V55" s="338"/>
      <c r="W55" s="338"/>
      <c r="X55" s="338"/>
      <c r="Y55" s="338"/>
      <c r="Z55" s="338"/>
      <c r="AA55" s="338"/>
      <c r="AB55" s="338"/>
      <c r="AC55" s="338"/>
      <c r="AD55" s="338"/>
      <c r="AE55" s="338"/>
      <c r="AF55" s="338"/>
      <c r="AG55" s="338"/>
      <c r="AH55" s="338"/>
      <c r="AI55" s="338"/>
      <c r="AJ55" s="338"/>
      <c r="AK55" s="338"/>
      <c r="AL55" s="338"/>
      <c r="AM55" s="338"/>
      <c r="AO55" s="79"/>
      <c r="AP55" s="79" t="str">
        <f t="shared" si="1"/>
        <v>Добавить централизованную систему для дифференциации</v>
      </c>
      <c r="AQ55" s="79"/>
      <c r="AR55" s="79"/>
    </row>
    <row r="56" spans="1:44" s="77" customFormat="1" ht="0.75" customHeight="1">
      <c r="A56" s="150" t="s">
        <v>189</v>
      </c>
      <c r="B56" s="150"/>
      <c r="C56" s="150"/>
      <c r="D56" s="150"/>
      <c r="E56" s="1337"/>
      <c r="F56" s="150"/>
      <c r="G56" s="150"/>
      <c r="H56" s="150"/>
      <c r="I56" s="150"/>
      <c r="J56" s="150"/>
      <c r="K56" s="150"/>
      <c r="L56" s="373"/>
      <c r="M56" s="815"/>
      <c r="N56" s="815"/>
      <c r="P56" s="111"/>
      <c r="Q56" s="811"/>
      <c r="R56" s="111"/>
      <c r="S56" s="816"/>
      <c r="T56" s="818" t="s">
        <v>1439</v>
      </c>
      <c r="U56" s="338"/>
      <c r="V56" s="338"/>
      <c r="W56" s="338"/>
      <c r="X56" s="338"/>
      <c r="Y56" s="338"/>
      <c r="Z56" s="338"/>
      <c r="AA56" s="338"/>
      <c r="AB56" s="338"/>
      <c r="AC56" s="338"/>
      <c r="AD56" s="338"/>
      <c r="AE56" s="338"/>
      <c r="AF56" s="338"/>
      <c r="AG56" s="338"/>
      <c r="AH56" s="338"/>
      <c r="AI56" s="338"/>
      <c r="AJ56" s="338"/>
      <c r="AK56" s="338"/>
      <c r="AL56" s="338"/>
      <c r="AM56" s="338"/>
      <c r="AO56" s="79"/>
      <c r="AP56" s="79" t="str">
        <f t="shared" si="1"/>
        <v>Добавить территорию для дифференциации</v>
      </c>
      <c r="AQ56" s="79"/>
      <c r="AR56" s="79"/>
    </row>
    <row r="57" spans="1:44" s="77" customFormat="1" ht="0.75" customHeight="1">
      <c r="A57" s="150"/>
      <c r="B57" s="150"/>
      <c r="C57" s="150"/>
      <c r="D57" s="150"/>
      <c r="E57" s="150"/>
      <c r="F57" s="150"/>
      <c r="G57" s="150"/>
      <c r="H57" s="150"/>
      <c r="I57" s="150"/>
      <c r="J57" s="150"/>
      <c r="K57" s="150"/>
      <c r="L57" s="373"/>
      <c r="M57" s="815"/>
      <c r="N57" s="815"/>
      <c r="P57" s="111"/>
      <c r="Q57" s="811"/>
      <c r="R57" s="111"/>
      <c r="S57" s="816"/>
      <c r="T57" s="818" t="s">
        <v>1440</v>
      </c>
      <c r="U57" s="338"/>
      <c r="V57" s="338"/>
      <c r="W57" s="338"/>
      <c r="X57" s="338"/>
      <c r="Y57" s="338"/>
      <c r="Z57" s="338"/>
      <c r="AA57" s="338"/>
      <c r="AB57" s="338"/>
      <c r="AC57" s="338"/>
      <c r="AD57" s="338"/>
      <c r="AE57" s="338"/>
      <c r="AF57" s="338"/>
      <c r="AG57" s="338"/>
      <c r="AH57" s="338"/>
      <c r="AI57" s="338"/>
      <c r="AJ57" s="338"/>
      <c r="AK57" s="338"/>
      <c r="AL57" s="338"/>
      <c r="AM57" s="338"/>
      <c r="AO57" s="79"/>
      <c r="AP57" s="79" t="str">
        <f t="shared" si="1"/>
        <v>Добавить наименование тарифа</v>
      </c>
      <c r="AQ57" s="79"/>
      <c r="AR57" s="79"/>
    </row>
    <row r="58" spans="1:44" ht="11.25" hidden="1" customHeight="1">
      <c r="M58" s="72"/>
      <c r="N58" s="72"/>
      <c r="O58" s="72"/>
      <c r="P58" s="24"/>
      <c r="Q58" s="24"/>
      <c r="R58" s="24"/>
      <c r="S58" s="24"/>
      <c r="AN58" s="24"/>
      <c r="AO58" s="24"/>
      <c r="AP58" s="24"/>
      <c r="AQ58" s="24"/>
      <c r="AR58" s="24"/>
    </row>
    <row r="59" spans="1:44" ht="18.75" hidden="1" customHeight="1">
      <c r="O59" s="72"/>
      <c r="S59" s="210" t="s">
        <v>1510</v>
      </c>
      <c r="T59" s="1336" t="s">
        <v>1519</v>
      </c>
      <c r="U59" s="1336"/>
      <c r="V59" s="1336"/>
      <c r="W59" s="1336"/>
      <c r="X59" s="1336"/>
      <c r="Y59" s="1336"/>
      <c r="Z59" s="1336"/>
      <c r="AA59" s="1336"/>
      <c r="AB59" s="1336"/>
      <c r="AC59" s="1336"/>
      <c r="AD59" s="1336"/>
      <c r="AE59" s="1336"/>
      <c r="AF59" s="1336"/>
      <c r="AG59" s="1336"/>
      <c r="AH59" s="1336"/>
      <c r="AI59" s="1336"/>
      <c r="AJ59" s="1336"/>
      <c r="AK59" s="1336"/>
      <c r="AL59" s="1336"/>
      <c r="AM59" s="1336"/>
    </row>
    <row r="60" spans="1:44" ht="27.75" hidden="1" customHeight="1">
      <c r="O60" s="72"/>
      <c r="T60" s="1336" t="s">
        <v>1520</v>
      </c>
      <c r="U60" s="1336"/>
      <c r="V60" s="1336"/>
      <c r="W60" s="1336"/>
      <c r="X60" s="1336"/>
      <c r="Y60" s="1336"/>
      <c r="Z60" s="1336"/>
      <c r="AA60" s="1336"/>
      <c r="AB60" s="1336"/>
      <c r="AC60" s="1336"/>
      <c r="AD60" s="1336"/>
      <c r="AE60" s="1336"/>
      <c r="AF60" s="1336"/>
      <c r="AG60" s="1336"/>
      <c r="AH60" s="1336"/>
      <c r="AI60" s="1336"/>
      <c r="AJ60" s="1336"/>
      <c r="AK60" s="1336"/>
      <c r="AL60" s="1336"/>
      <c r="AM60" s="1336"/>
    </row>
    <row r="61" spans="1:44" ht="36.75" hidden="1" customHeight="1">
      <c r="O61" s="72"/>
      <c r="T61" s="1336" t="s">
        <v>1521</v>
      </c>
      <c r="U61" s="1336"/>
      <c r="V61" s="1336"/>
      <c r="W61" s="1336"/>
      <c r="X61" s="1336"/>
      <c r="Y61" s="1336"/>
      <c r="Z61" s="1336"/>
      <c r="AA61" s="1336"/>
      <c r="AB61" s="1336"/>
      <c r="AC61" s="1336"/>
      <c r="AD61" s="1336"/>
      <c r="AE61" s="1336"/>
      <c r="AF61" s="1336"/>
      <c r="AG61" s="1336"/>
      <c r="AH61" s="1336"/>
      <c r="AI61" s="1336"/>
      <c r="AJ61" s="1336"/>
      <c r="AK61" s="1336"/>
      <c r="AL61" s="1336"/>
      <c r="AM61" s="1336"/>
    </row>
    <row r="62" spans="1:44" ht="14.25" hidden="1" customHeight="1">
      <c r="O62" s="72"/>
    </row>
    <row r="63" spans="1:44" ht="19.5" hidden="1" customHeight="1">
      <c r="O63" s="72"/>
      <c r="S63" s="210" t="s">
        <v>1510</v>
      </c>
      <c r="T63" s="1165" t="s">
        <v>1513</v>
      </c>
      <c r="U63" s="1336"/>
      <c r="V63" s="1336"/>
      <c r="W63" s="1336"/>
      <c r="X63" s="1336"/>
      <c r="Y63" s="1336"/>
      <c r="Z63" s="1336"/>
      <c r="AA63" s="1336"/>
      <c r="AB63" s="1336"/>
      <c r="AC63" s="1336"/>
      <c r="AD63" s="1336"/>
      <c r="AE63" s="1336"/>
      <c r="AF63" s="1336"/>
      <c r="AG63" s="1336"/>
      <c r="AH63" s="1336"/>
      <c r="AI63" s="1336"/>
      <c r="AJ63" s="1336"/>
      <c r="AK63" s="1336"/>
      <c r="AL63" s="1336"/>
      <c r="AM63" s="1336"/>
    </row>
    <row r="64" spans="1:44" ht="27.75" hidden="1" customHeight="1">
      <c r="O64" s="72"/>
      <c r="T64" s="1336" t="s">
        <v>1522</v>
      </c>
      <c r="U64" s="1336"/>
      <c r="V64" s="1336"/>
      <c r="W64" s="1336"/>
      <c r="X64" s="1336"/>
      <c r="Y64" s="1336"/>
      <c r="Z64" s="1336"/>
      <c r="AA64" s="1336"/>
      <c r="AB64" s="1336"/>
      <c r="AC64" s="1336"/>
      <c r="AD64" s="1336"/>
      <c r="AE64" s="1336"/>
      <c r="AF64" s="1336"/>
      <c r="AG64" s="1336"/>
      <c r="AH64" s="1336"/>
      <c r="AI64" s="1336"/>
      <c r="AJ64" s="1336"/>
      <c r="AK64" s="1336"/>
      <c r="AL64" s="1336"/>
      <c r="AM64" s="1336"/>
    </row>
    <row r="65" spans="20:39" ht="33.75" hidden="1" customHeight="1">
      <c r="T65" s="1336" t="s">
        <v>1523</v>
      </c>
      <c r="U65" s="1336"/>
      <c r="V65" s="1336"/>
      <c r="W65" s="1336"/>
      <c r="X65" s="1336"/>
      <c r="Y65" s="1336"/>
      <c r="Z65" s="1336"/>
      <c r="AA65" s="1336"/>
      <c r="AB65" s="1336"/>
      <c r="AC65" s="1336"/>
      <c r="AD65" s="1336"/>
      <c r="AE65" s="1336"/>
      <c r="AF65" s="1336"/>
      <c r="AG65" s="1336"/>
      <c r="AH65" s="1336"/>
      <c r="AI65" s="1336"/>
      <c r="AJ65" s="1336"/>
      <c r="AK65" s="1336"/>
      <c r="AL65" s="1336"/>
      <c r="AM65" s="1336"/>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400-000000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400-000001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400-000002000000}">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4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4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400-000005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4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4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C11BCD-F4FE-19D4-1273-FF10749C4D32}">
  <sheetPr>
    <tabColor theme="6" tint="0.39997558519241921"/>
  </sheetPr>
  <dimension ref="A1:AV71"/>
  <sheetViews>
    <sheetView showGridLines="0" topLeftCell="R29" zoomScale="90" workbookViewId="0"/>
  </sheetViews>
  <sheetFormatPr defaultColWidth="10.5703125" defaultRowHeight="14.25" customHeight="1"/>
  <cols>
    <col min="1" max="1" width="10.5703125" style="24" hidden="1"/>
    <col min="2" max="2" width="11" style="24" hidden="1" customWidth="1"/>
    <col min="3" max="3" width="10.5703125" style="24" hidden="1"/>
    <col min="4" max="4" width="11.85546875" style="24" hidden="1" customWidth="1"/>
    <col min="5" max="5" width="10" style="24" hidden="1" customWidth="1"/>
    <col min="6" max="6" width="8.7109375" style="24" hidden="1" customWidth="1"/>
    <col min="7" max="7" width="7.5703125" style="24" hidden="1" customWidth="1"/>
    <col min="8" max="8" width="11.42578125" style="24" hidden="1" customWidth="1"/>
    <col min="9" max="9" width="12" style="24" hidden="1" customWidth="1"/>
    <col min="10" max="10" width="9.85546875" style="24" hidden="1" customWidth="1"/>
    <col min="11" max="12" width="11.42578125" style="24" hidden="1" customWidth="1"/>
    <col min="13" max="13" width="19.140625" style="68" hidden="1" customWidth="1"/>
    <col min="14" max="15" width="12.28515625" style="42" hidden="1" customWidth="1"/>
    <col min="16" max="16" width="23.42578125" style="42" hidden="1" customWidth="1"/>
    <col min="17" max="17" width="3.7109375" style="42" hidden="1" customWidth="1"/>
    <col min="18" max="20" width="3.7109375" style="37" customWidth="1"/>
    <col min="21" max="21" width="12.7109375" style="368" customWidth="1"/>
    <col min="22" max="22" width="32" style="24" customWidth="1"/>
    <col min="23" max="23" width="0.140625" style="24" customWidth="1"/>
    <col min="24" max="28" width="21.7109375" style="24" hidden="1" customWidth="1"/>
    <col min="29" max="29" width="11.7109375" style="24" hidden="1" customWidth="1"/>
    <col min="30" max="30" width="3.7109375" style="24" hidden="1" customWidth="1"/>
    <col min="31" max="31" width="11.7109375" style="24" hidden="1" customWidth="1"/>
    <col min="32" max="32" width="8.5703125" style="24" hidden="1" customWidth="1"/>
    <col min="33" max="37" width="21.7109375" style="24" customWidth="1"/>
    <col min="38" max="38" width="11.7109375" style="24" customWidth="1"/>
    <col min="39" max="39" width="3.7109375" style="24" customWidth="1"/>
    <col min="40" max="40" width="11.7109375" style="24" customWidth="1"/>
    <col min="41" max="41" width="8.5703125" style="24" customWidth="1"/>
    <col min="42" max="42" width="4.7109375" style="24" customWidth="1"/>
    <col min="43" max="43" width="115.7109375" style="24" customWidth="1"/>
    <col min="44" max="45" width="10.5703125" style="77"/>
    <col min="46" max="46" width="11.140625" style="77" customWidth="1"/>
    <col min="47" max="48" width="10.5703125" style="77"/>
  </cols>
  <sheetData>
    <row r="1" spans="1:48" ht="14.25" hidden="1" customHeight="1"/>
    <row r="2" spans="1:48" ht="21" hidden="1" customHeight="1">
      <c r="A2" s="785"/>
      <c r="B2" s="785"/>
      <c r="C2" s="785"/>
      <c r="D2" s="785"/>
      <c r="E2" s="1371">
        <v>1</v>
      </c>
      <c r="F2" s="785"/>
      <c r="G2" s="785"/>
      <c r="H2" s="785"/>
      <c r="I2" s="785"/>
      <c r="J2" s="785"/>
      <c r="K2" s="785"/>
      <c r="L2" s="785"/>
      <c r="M2" s="810"/>
      <c r="N2" s="368"/>
      <c r="O2" s="368"/>
      <c r="P2" s="368"/>
      <c r="R2" s="43"/>
      <c r="S2" s="43"/>
      <c r="T2" s="220"/>
      <c r="U2" s="755" t="e">
        <f>INDEX(PT_DIFFERENTIATION_NUM_NTAR,MATCH(A2,PT_DIFFERENTIATION_NTAR_ID,0))</f>
        <v>#N/A</v>
      </c>
      <c r="V2" s="76" t="s">
        <v>124</v>
      </c>
      <c r="W2" s="179"/>
      <c r="X2" s="1331"/>
      <c r="Y2" s="1332"/>
      <c r="Z2" s="1332"/>
      <c r="AA2" s="1332"/>
      <c r="AB2" s="1332"/>
      <c r="AC2" s="1332"/>
      <c r="AD2" s="1332"/>
      <c r="AE2" s="1332"/>
      <c r="AF2" s="1333"/>
      <c r="AG2" s="1331" t="e">
        <f>INDEX(PT_DIFFERENTIATION_NTAR,MATCH(A2,PT_DIFFERENTIATION_NTAR_ID,0))</f>
        <v>#N/A</v>
      </c>
      <c r="AH2" s="1332"/>
      <c r="AI2" s="1332"/>
      <c r="AJ2" s="1332"/>
      <c r="AK2" s="1332"/>
      <c r="AL2" s="1332"/>
      <c r="AM2" s="1332"/>
      <c r="AN2" s="1332"/>
      <c r="AO2" s="1332"/>
      <c r="AP2" s="1333"/>
      <c r="AQ2" s="782" t="s">
        <v>1461</v>
      </c>
      <c r="AS2" s="79"/>
      <c r="AT2" s="79" t="str">
        <f t="shared" ref="AT2:AT8" si="0">IF(V2="","",V2)</f>
        <v>Наименование тарифа</v>
      </c>
      <c r="AU2" s="79"/>
      <c r="AV2" s="79"/>
    </row>
    <row r="3" spans="1:48" ht="21" hidden="1" customHeight="1">
      <c r="A3" s="785"/>
      <c r="B3" s="785"/>
      <c r="C3" s="785"/>
      <c r="D3" s="785"/>
      <c r="E3" s="1372"/>
      <c r="F3" s="1371">
        <v>1</v>
      </c>
      <c r="G3" s="785"/>
      <c r="H3" s="785"/>
      <c r="I3" s="785"/>
      <c r="J3" s="785"/>
      <c r="K3" s="785"/>
      <c r="L3" s="785"/>
      <c r="M3" s="810"/>
      <c r="N3" s="368"/>
      <c r="O3" s="368"/>
      <c r="P3" s="368"/>
      <c r="Q3" s="68"/>
      <c r="R3" s="217"/>
      <c r="S3" s="24"/>
      <c r="T3" s="218"/>
      <c r="U3" s="755" t="e">
        <f>INDEX(PT_DIFFERENTIATION_NUM_TER,MATCH(B3,PT_DIFFERENTIATION_TER_ID,0))</f>
        <v>#N/A</v>
      </c>
      <c r="V3" s="187" t="s">
        <v>1462</v>
      </c>
      <c r="W3" s="179"/>
      <c r="X3" s="1331"/>
      <c r="Y3" s="1332"/>
      <c r="Z3" s="1332"/>
      <c r="AA3" s="1332"/>
      <c r="AB3" s="1332"/>
      <c r="AC3" s="1332"/>
      <c r="AD3" s="1332"/>
      <c r="AE3" s="1332"/>
      <c r="AF3" s="1333"/>
      <c r="AG3" s="1331" t="e">
        <f>INDEX(PT_DIFFERENTIATION_TER,MATCH(B3,PT_DIFFERENTIATION_TER_ID,0))</f>
        <v>#N/A</v>
      </c>
      <c r="AH3" s="1332"/>
      <c r="AI3" s="1332"/>
      <c r="AJ3" s="1332"/>
      <c r="AK3" s="1332"/>
      <c r="AL3" s="1332"/>
      <c r="AM3" s="1332"/>
      <c r="AN3" s="1332"/>
      <c r="AO3" s="1332"/>
      <c r="AP3" s="1333"/>
      <c r="AQ3" s="782" t="s">
        <v>1463</v>
      </c>
      <c r="AS3" s="79"/>
      <c r="AT3" s="79" t="str">
        <f t="shared" si="0"/>
        <v>Территория действия тарифа</v>
      </c>
      <c r="AU3" s="79"/>
      <c r="AV3" s="79"/>
    </row>
    <row r="4" spans="1:48" ht="22.5" hidden="1" customHeight="1">
      <c r="A4" s="785"/>
      <c r="B4" s="785"/>
      <c r="C4" s="785"/>
      <c r="D4" s="785"/>
      <c r="E4" s="1372"/>
      <c r="F4" s="1372"/>
      <c r="G4" s="1371">
        <v>1</v>
      </c>
      <c r="H4" s="785"/>
      <c r="I4" s="785"/>
      <c r="J4" s="785"/>
      <c r="K4" s="785"/>
      <c r="L4" s="785"/>
      <c r="M4" s="810"/>
      <c r="N4" s="368"/>
      <c r="O4" s="368"/>
      <c r="P4" s="368"/>
      <c r="Q4" s="219"/>
      <c r="R4" s="217"/>
      <c r="S4" s="24"/>
      <c r="T4" s="218"/>
      <c r="U4" s="755" t="e">
        <f>INDEX(PT_DIFFERENTIATION_NUM_CS,MATCH(C4,PT_DIFFERENTIATION_CS_ID,0))</f>
        <v>#N/A</v>
      </c>
      <c r="V4" s="188" t="s">
        <v>1464</v>
      </c>
      <c r="W4" s="179"/>
      <c r="X4" s="1331"/>
      <c r="Y4" s="1332"/>
      <c r="Z4" s="1332"/>
      <c r="AA4" s="1332"/>
      <c r="AB4" s="1332"/>
      <c r="AC4" s="1332"/>
      <c r="AD4" s="1332"/>
      <c r="AE4" s="1332"/>
      <c r="AF4" s="1333"/>
      <c r="AG4" s="1331" t="e">
        <f>INDEX(PT_DIFFERENTIATION_CS,MATCH(C4,PT_DIFFERENTIATION_CS_ID,0))</f>
        <v>#N/A</v>
      </c>
      <c r="AH4" s="1332"/>
      <c r="AI4" s="1332"/>
      <c r="AJ4" s="1332"/>
      <c r="AK4" s="1332"/>
      <c r="AL4" s="1332"/>
      <c r="AM4" s="1332"/>
      <c r="AN4" s="1332"/>
      <c r="AO4" s="1332"/>
      <c r="AP4" s="1333"/>
      <c r="AQ4" s="782" t="s">
        <v>1465</v>
      </c>
      <c r="AS4" s="79"/>
      <c r="AT4" s="79" t="str">
        <f t="shared" si="0"/>
        <v xml:space="preserve">Наименование системы теплоснабжения </v>
      </c>
      <c r="AU4" s="79"/>
      <c r="AV4" s="79"/>
    </row>
    <row r="5" spans="1:48" ht="21" hidden="1" customHeight="1">
      <c r="A5" s="785"/>
      <c r="B5" s="785"/>
      <c r="C5" s="785"/>
      <c r="D5" s="785"/>
      <c r="E5" s="1372"/>
      <c r="F5" s="1372"/>
      <c r="G5" s="1372"/>
      <c r="H5" s="1371">
        <v>1</v>
      </c>
      <c r="I5" s="785"/>
      <c r="J5" s="785"/>
      <c r="K5" s="785"/>
      <c r="L5" s="785"/>
      <c r="M5" s="810"/>
      <c r="N5" s="368"/>
      <c r="O5" s="368"/>
      <c r="P5" s="368"/>
      <c r="Q5" s="219"/>
      <c r="R5" s="217"/>
      <c r="S5" s="24"/>
      <c r="T5" s="218"/>
      <c r="U5" s="755" t="e">
        <f>INDEX(PT_DIFFERENTIATION_NUM_IST_TE,MATCH(D5,PT_DIFFERENTIATION_IST_TE_ID,0))</f>
        <v>#N/A</v>
      </c>
      <c r="V5" s="189" t="s">
        <v>1466</v>
      </c>
      <c r="W5" s="179"/>
      <c r="X5" s="1331"/>
      <c r="Y5" s="1332"/>
      <c r="Z5" s="1332"/>
      <c r="AA5" s="1332"/>
      <c r="AB5" s="1332"/>
      <c r="AC5" s="1332"/>
      <c r="AD5" s="1332"/>
      <c r="AE5" s="1332"/>
      <c r="AF5" s="1333"/>
      <c r="AG5" s="1331" t="e">
        <f>INDEX(PT_DIFFERENTIATION_IST_TE,MATCH(D5,PT_DIFFERENTIATION_IST_TE_ID,0))</f>
        <v>#N/A</v>
      </c>
      <c r="AH5" s="1332"/>
      <c r="AI5" s="1332"/>
      <c r="AJ5" s="1332"/>
      <c r="AK5" s="1332"/>
      <c r="AL5" s="1332"/>
      <c r="AM5" s="1332"/>
      <c r="AN5" s="1332"/>
      <c r="AO5" s="1332"/>
      <c r="AP5" s="1333"/>
      <c r="AQ5" s="782" t="s">
        <v>1467</v>
      </c>
      <c r="AS5" s="79"/>
      <c r="AT5" s="79" t="str">
        <f t="shared" si="0"/>
        <v xml:space="preserve">Источник тепловой энергии  </v>
      </c>
      <c r="AU5" s="79"/>
      <c r="AV5" s="79"/>
    </row>
    <row r="6" spans="1:48" ht="14.25" hidden="1" customHeight="1">
      <c r="A6" s="785"/>
      <c r="B6" s="785"/>
      <c r="C6" s="785"/>
      <c r="D6" s="785"/>
      <c r="E6" s="1372"/>
      <c r="F6" s="1372"/>
      <c r="G6" s="1372"/>
      <c r="H6" s="1372"/>
      <c r="I6" s="1123" t="e">
        <f>U5&amp;".1"</f>
        <v>#N/A</v>
      </c>
      <c r="J6" s="785"/>
      <c r="K6" s="785"/>
      <c r="L6" s="785"/>
      <c r="M6" s="810" t="s">
        <v>1468</v>
      </c>
      <c r="N6" s="24"/>
      <c r="Q6" s="1259">
        <v>1</v>
      </c>
      <c r="R6" s="127"/>
      <c r="S6" s="127"/>
      <c r="T6" s="221"/>
      <c r="U6" s="389"/>
      <c r="V6" s="831"/>
      <c r="W6" s="832"/>
      <c r="X6" s="1365"/>
      <c r="Y6" s="1366"/>
      <c r="Z6" s="1366"/>
      <c r="AA6" s="1366"/>
      <c r="AB6" s="1366"/>
      <c r="AC6" s="1366"/>
      <c r="AD6" s="1366"/>
      <c r="AE6" s="1366"/>
      <c r="AF6" s="1367"/>
      <c r="AG6" s="1365"/>
      <c r="AH6" s="1366"/>
      <c r="AI6" s="1366"/>
      <c r="AJ6" s="1366"/>
      <c r="AK6" s="1366"/>
      <c r="AL6" s="1366"/>
      <c r="AM6" s="1366"/>
      <c r="AN6" s="1366"/>
      <c r="AO6" s="1366"/>
      <c r="AP6" s="1367"/>
      <c r="AQ6" s="833"/>
      <c r="AS6" s="79"/>
      <c r="AT6" s="79" t="str">
        <f t="shared" si="0"/>
        <v/>
      </c>
      <c r="AU6" s="79"/>
      <c r="AV6" s="79"/>
    </row>
    <row r="7" spans="1:48" ht="21" hidden="1" customHeight="1">
      <c r="A7" s="785"/>
      <c r="B7" s="785"/>
      <c r="C7" s="785"/>
      <c r="D7" s="785"/>
      <c r="E7" s="1372"/>
      <c r="F7" s="1372"/>
      <c r="G7" s="1372"/>
      <c r="H7" s="1372"/>
      <c r="I7" s="1105"/>
      <c r="J7" s="1123" t="e">
        <f>I6&amp;".1"</f>
        <v>#N/A</v>
      </c>
      <c r="K7" s="785"/>
      <c r="L7" s="785"/>
      <c r="M7" s="810" t="s">
        <v>1471</v>
      </c>
      <c r="N7" s="24"/>
      <c r="O7" s="24"/>
      <c r="Q7" s="1259"/>
      <c r="R7" s="1259">
        <v>1</v>
      </c>
      <c r="S7" s="77"/>
      <c r="T7" s="222"/>
      <c r="U7" s="755" t="e">
        <f>$J7</f>
        <v>#N/A</v>
      </c>
      <c r="V7" s="173" t="s">
        <v>1472</v>
      </c>
      <c r="W7" s="179"/>
      <c r="X7" s="1326"/>
      <c r="Y7" s="1327"/>
      <c r="Z7" s="1327"/>
      <c r="AA7" s="1327"/>
      <c r="AB7" s="1327"/>
      <c r="AC7" s="1236"/>
      <c r="AD7" s="1236"/>
      <c r="AE7" s="1236"/>
      <c r="AF7" s="1373"/>
      <c r="AG7" s="1326"/>
      <c r="AH7" s="1327"/>
      <c r="AI7" s="1327"/>
      <c r="AJ7" s="1327"/>
      <c r="AK7" s="1327"/>
      <c r="AL7" s="1327"/>
      <c r="AM7" s="1327"/>
      <c r="AN7" s="1327"/>
      <c r="AO7" s="1327"/>
      <c r="AP7" s="1328"/>
      <c r="AQ7" s="782" t="s">
        <v>1473</v>
      </c>
      <c r="AS7" s="79"/>
      <c r="AT7" s="79" t="str">
        <f t="shared" si="0"/>
        <v>Группа потребителей</v>
      </c>
      <c r="AU7" s="79"/>
      <c r="AV7" s="79"/>
    </row>
    <row r="8" spans="1:48" ht="21" hidden="1" customHeight="1">
      <c r="A8" s="785"/>
      <c r="B8" s="785"/>
      <c r="C8" s="785"/>
      <c r="D8" s="785"/>
      <c r="E8" s="1372"/>
      <c r="F8" s="1372"/>
      <c r="G8" s="1372"/>
      <c r="H8" s="1372"/>
      <c r="I8" s="1105"/>
      <c r="J8" s="1105"/>
      <c r="K8" s="1123" t="e">
        <f>J7&amp;".1"</f>
        <v>#N/A</v>
      </c>
      <c r="L8" s="68"/>
      <c r="M8" s="810" t="s">
        <v>1474</v>
      </c>
      <c r="N8" s="24"/>
      <c r="O8" s="24"/>
      <c r="P8" s="24"/>
      <c r="Q8" s="1259"/>
      <c r="R8" s="1259"/>
      <c r="S8" s="1259">
        <v>1</v>
      </c>
      <c r="T8" s="222"/>
      <c r="U8" s="755" t="e">
        <f>$K8</f>
        <v>#N/A</v>
      </c>
      <c r="V8" s="821"/>
      <c r="W8" s="179"/>
      <c r="X8" s="1054"/>
      <c r="Y8" s="1054"/>
      <c r="Z8" s="1054"/>
      <c r="AA8" s="1054"/>
      <c r="AB8" s="1063"/>
      <c r="AC8" s="1341"/>
      <c r="AD8" s="1133" t="s">
        <v>67</v>
      </c>
      <c r="AE8" s="1341"/>
      <c r="AF8" s="1133" t="s">
        <v>67</v>
      </c>
      <c r="AG8" s="1064"/>
      <c r="AH8" s="1054"/>
      <c r="AI8" s="1054"/>
      <c r="AJ8" s="1054"/>
      <c r="AK8" s="1056"/>
      <c r="AL8" s="1341"/>
      <c r="AM8" s="1133" t="s">
        <v>67</v>
      </c>
      <c r="AN8" s="1341"/>
      <c r="AO8" s="1133" t="s">
        <v>67</v>
      </c>
      <c r="AP8" s="1055"/>
      <c r="AQ8" s="809" t="s">
        <v>1524</v>
      </c>
      <c r="AR8" s="77" t="e">
        <f ca="1">STRCHECKDATE(X10:AP10)</f>
        <v>#NAME?</v>
      </c>
      <c r="AS8" s="79"/>
      <c r="AT8" s="79" t="str">
        <f t="shared" si="0"/>
        <v/>
      </c>
      <c r="AU8" s="79"/>
      <c r="AV8" s="79"/>
    </row>
    <row r="9" spans="1:48" ht="21" hidden="1" customHeight="1">
      <c r="A9" s="785"/>
      <c r="B9" s="785"/>
      <c r="C9" s="785"/>
      <c r="D9" s="785"/>
      <c r="E9" s="1372"/>
      <c r="F9" s="1372"/>
      <c r="G9" s="1372"/>
      <c r="H9" s="1372"/>
      <c r="I9" s="1105"/>
      <c r="J9" s="1105"/>
      <c r="K9" s="1105"/>
      <c r="L9" s="1123" t="e">
        <f>K8&amp;".1"</f>
        <v>#N/A</v>
      </c>
      <c r="M9" s="810"/>
      <c r="N9" s="24"/>
      <c r="O9" s="24"/>
      <c r="P9" s="24"/>
      <c r="Q9" s="1259"/>
      <c r="R9" s="1259"/>
      <c r="S9" s="1259"/>
      <c r="T9" s="222"/>
      <c r="U9" s="755" t="e">
        <f>$L9</f>
        <v>#N/A</v>
      </c>
      <c r="V9" s="838"/>
      <c r="W9" s="179"/>
      <c r="X9" s="1055"/>
      <c r="Y9" s="1054"/>
      <c r="Z9" s="1054"/>
      <c r="AA9" s="1054"/>
      <c r="AB9" s="1063"/>
      <c r="AC9" s="1342"/>
      <c r="AD9" s="1133"/>
      <c r="AE9" s="1342"/>
      <c r="AF9" s="1133"/>
      <c r="AG9" s="1064"/>
      <c r="AH9" s="1054"/>
      <c r="AI9" s="1054"/>
      <c r="AJ9" s="1054"/>
      <c r="AK9" s="1056"/>
      <c r="AL9" s="1342"/>
      <c r="AM9" s="1133"/>
      <c r="AN9" s="1342"/>
      <c r="AO9" s="1133"/>
      <c r="AP9" s="1055"/>
      <c r="AQ9" s="1359" t="s">
        <v>1525</v>
      </c>
      <c r="AS9" s="79"/>
      <c r="AT9" s="79"/>
      <c r="AU9" s="79"/>
      <c r="AV9" s="79"/>
    </row>
    <row r="10" spans="1:48" ht="0.75" hidden="1" customHeight="1">
      <c r="A10" s="785"/>
      <c r="B10" s="785"/>
      <c r="C10" s="785"/>
      <c r="D10" s="785"/>
      <c r="E10" s="1372"/>
      <c r="F10" s="1372"/>
      <c r="G10" s="1372"/>
      <c r="H10" s="1372"/>
      <c r="I10" s="1105"/>
      <c r="J10" s="1105"/>
      <c r="K10" s="1105"/>
      <c r="L10" s="1123"/>
      <c r="M10" s="810"/>
      <c r="N10" s="24"/>
      <c r="O10" s="24"/>
      <c r="P10" s="24"/>
      <c r="Q10" s="1259"/>
      <c r="R10" s="1259"/>
      <c r="S10" s="1259"/>
      <c r="T10" s="222"/>
      <c r="U10" s="74"/>
      <c r="V10" s="179"/>
      <c r="W10" s="179"/>
      <c r="X10" s="1055"/>
      <c r="Y10" s="1055"/>
      <c r="Z10" s="1055"/>
      <c r="AA10" s="1055"/>
      <c r="AB10" s="1065" t="str">
        <f>AC8&amp;"-"&amp;AE8</f>
        <v>-</v>
      </c>
      <c r="AC10" s="1342"/>
      <c r="AD10" s="1133"/>
      <c r="AE10" s="1342"/>
      <c r="AF10" s="1133"/>
      <c r="AG10" s="1066"/>
      <c r="AH10" s="1055"/>
      <c r="AI10" s="1055"/>
      <c r="AJ10" s="1055"/>
      <c r="AK10" s="1057" t="str">
        <f>AL8&amp;"-"&amp;AN8</f>
        <v>-</v>
      </c>
      <c r="AL10" s="1342"/>
      <c r="AM10" s="1133"/>
      <c r="AN10" s="1342"/>
      <c r="AO10" s="1133"/>
      <c r="AP10" s="1055"/>
      <c r="AQ10" s="1360"/>
      <c r="AS10" s="79"/>
      <c r="AT10" s="79" t="str">
        <f>IF(V10="","",V10)</f>
        <v/>
      </c>
      <c r="AU10" s="79"/>
      <c r="AV10" s="79"/>
    </row>
    <row r="11" spans="1:48" ht="11.25" hidden="1" customHeight="1">
      <c r="A11" s="785"/>
      <c r="B11" s="785"/>
      <c r="C11" s="785"/>
      <c r="D11" s="785"/>
      <c r="E11" s="1372"/>
      <c r="F11" s="1372"/>
      <c r="G11" s="1372"/>
      <c r="H11" s="1372"/>
      <c r="I11" s="1105"/>
      <c r="J11" s="1105"/>
      <c r="K11" s="1123"/>
      <c r="L11" s="785"/>
      <c r="M11" s="810"/>
      <c r="N11" s="24"/>
      <c r="O11" s="24"/>
      <c r="P11" s="24"/>
      <c r="Q11" s="1259"/>
      <c r="R11" s="1259"/>
      <c r="S11" s="1259"/>
      <c r="T11" s="222"/>
      <c r="U11" s="796"/>
      <c r="V11" s="175" t="s">
        <v>1526</v>
      </c>
      <c r="W11" s="839"/>
      <c r="X11" s="1067"/>
      <c r="Y11" s="1067"/>
      <c r="Z11" s="1067"/>
      <c r="AA11" s="1067"/>
      <c r="AB11" s="1068"/>
      <c r="AC11" s="1342"/>
      <c r="AD11" s="1133"/>
      <c r="AE11" s="1342"/>
      <c r="AF11" s="1133"/>
      <c r="AG11" s="1067"/>
      <c r="AH11" s="1067"/>
      <c r="AI11" s="1067"/>
      <c r="AJ11" s="1067"/>
      <c r="AK11" s="1068"/>
      <c r="AL11" s="1342"/>
      <c r="AM11" s="1133"/>
      <c r="AN11" s="1342"/>
      <c r="AO11" s="1133"/>
      <c r="AP11" s="1069"/>
      <c r="AQ11" s="1360"/>
      <c r="AS11" s="79"/>
      <c r="AT11" s="79"/>
      <c r="AU11" s="79"/>
      <c r="AV11" s="79"/>
    </row>
    <row r="12" spans="1:48" ht="15" hidden="1" customHeight="1">
      <c r="A12" s="785"/>
      <c r="B12" s="785"/>
      <c r="C12" s="785"/>
      <c r="D12" s="785"/>
      <c r="E12" s="1372"/>
      <c r="F12" s="1372"/>
      <c r="G12" s="1372"/>
      <c r="H12" s="1372"/>
      <c r="I12" s="1105"/>
      <c r="J12" s="1123"/>
      <c r="K12" s="785"/>
      <c r="L12" s="785"/>
      <c r="M12" s="810"/>
      <c r="N12" s="24"/>
      <c r="O12" s="24"/>
      <c r="Q12" s="1259"/>
      <c r="R12" s="1259"/>
      <c r="S12" s="127"/>
      <c r="T12" s="221"/>
      <c r="U12" s="796"/>
      <c r="V12" s="174" t="s">
        <v>1476</v>
      </c>
      <c r="W12" s="228"/>
      <c r="X12" s="228"/>
      <c r="Y12" s="228"/>
      <c r="Z12" s="228"/>
      <c r="AA12" s="228"/>
      <c r="AB12" s="228"/>
      <c r="AC12" s="844"/>
      <c r="AD12" s="844"/>
      <c r="AE12" s="844"/>
      <c r="AF12" s="844"/>
      <c r="AG12" s="228"/>
      <c r="AH12" s="228"/>
      <c r="AI12" s="228"/>
      <c r="AJ12" s="228"/>
      <c r="AK12" s="228"/>
      <c r="AL12" s="228"/>
      <c r="AM12" s="228"/>
      <c r="AN12" s="228"/>
      <c r="AO12" s="228"/>
      <c r="AP12" s="204"/>
      <c r="AQ12" s="1361"/>
      <c r="AS12" s="79"/>
      <c r="AT12" s="79" t="str">
        <f t="shared" ref="AT12:AT17" si="1">IF(V12="","",V12)</f>
        <v>Добавить вид теплоносителя (параметры теплоносителя)</v>
      </c>
      <c r="AU12" s="79"/>
      <c r="AV12" s="79"/>
    </row>
    <row r="13" spans="1:48" ht="15" hidden="1" customHeight="1">
      <c r="A13" s="785"/>
      <c r="B13" s="785"/>
      <c r="C13" s="785"/>
      <c r="D13" s="785"/>
      <c r="E13" s="1372"/>
      <c r="F13" s="1372"/>
      <c r="G13" s="1372"/>
      <c r="H13" s="1372"/>
      <c r="I13" s="1123"/>
      <c r="J13" s="785"/>
      <c r="K13" s="785"/>
      <c r="L13" s="785"/>
      <c r="M13" s="810"/>
      <c r="N13" s="24"/>
      <c r="Q13" s="1259"/>
      <c r="R13" s="127"/>
      <c r="S13" s="127"/>
      <c r="T13" s="221"/>
      <c r="U13" s="796"/>
      <c r="V13" s="226" t="s">
        <v>1477</v>
      </c>
      <c r="W13" s="228"/>
      <c r="X13" s="228"/>
      <c r="Y13" s="228"/>
      <c r="Z13" s="228"/>
      <c r="AA13" s="228"/>
      <c r="AB13" s="228"/>
      <c r="AC13" s="228"/>
      <c r="AD13" s="228"/>
      <c r="AE13" s="228"/>
      <c r="AF13" s="205"/>
      <c r="AG13" s="228"/>
      <c r="AH13" s="228"/>
      <c r="AI13" s="228"/>
      <c r="AJ13" s="228"/>
      <c r="AK13" s="228"/>
      <c r="AL13" s="228"/>
      <c r="AM13" s="228"/>
      <c r="AN13" s="228"/>
      <c r="AO13" s="205"/>
      <c r="AP13" s="228"/>
      <c r="AQ13" s="182"/>
      <c r="AS13" s="79"/>
      <c r="AT13" s="79" t="str">
        <f t="shared" si="1"/>
        <v>Добавить группу потребителей</v>
      </c>
      <c r="AU13" s="79"/>
      <c r="AV13" s="79"/>
    </row>
    <row r="14" spans="1:48" ht="14.25" hidden="1" customHeight="1">
      <c r="A14" s="785"/>
      <c r="B14" s="785"/>
      <c r="C14" s="785"/>
      <c r="D14" s="785"/>
      <c r="E14" s="1372"/>
      <c r="F14" s="1372"/>
      <c r="G14" s="1372"/>
      <c r="H14" s="1371"/>
      <c r="I14" s="785"/>
      <c r="J14" s="785"/>
      <c r="K14" s="785"/>
      <c r="L14" s="785"/>
      <c r="M14" s="810"/>
      <c r="N14" s="368"/>
      <c r="O14" s="368"/>
      <c r="P14" s="24"/>
      <c r="Q14" s="43"/>
      <c r="R14" s="231"/>
      <c r="S14" s="220"/>
      <c r="T14" s="43"/>
      <c r="U14" s="834"/>
      <c r="V14" s="835"/>
      <c r="W14" s="836"/>
      <c r="X14" s="836"/>
      <c r="Y14" s="836"/>
      <c r="Z14" s="836"/>
      <c r="AA14" s="836"/>
      <c r="AB14" s="836"/>
      <c r="AC14" s="836"/>
      <c r="AD14" s="836"/>
      <c r="AE14" s="836"/>
      <c r="AF14" s="836"/>
      <c r="AG14" s="836"/>
      <c r="AH14" s="836"/>
      <c r="AI14" s="836"/>
      <c r="AJ14" s="836"/>
      <c r="AK14" s="836"/>
      <c r="AL14" s="836"/>
      <c r="AM14" s="836"/>
      <c r="AN14" s="836"/>
      <c r="AO14" s="836"/>
      <c r="AP14" s="836"/>
      <c r="AQ14" s="837"/>
      <c r="AS14" s="79"/>
      <c r="AT14" s="79" t="str">
        <f t="shared" si="1"/>
        <v/>
      </c>
      <c r="AU14" s="79"/>
      <c r="AV14" s="79"/>
    </row>
    <row r="15" spans="1:48" s="77" customFormat="1" ht="0.75" hidden="1" customHeight="1">
      <c r="A15" s="827"/>
      <c r="B15" s="827"/>
      <c r="C15" s="827"/>
      <c r="D15" s="827"/>
      <c r="E15" s="1372"/>
      <c r="F15" s="1372"/>
      <c r="G15" s="1371"/>
      <c r="H15" s="827"/>
      <c r="I15" s="827"/>
      <c r="J15" s="827"/>
      <c r="K15" s="827"/>
      <c r="L15" s="827"/>
      <c r="M15" s="828"/>
      <c r="N15" s="829"/>
      <c r="O15" s="829"/>
      <c r="P15" s="216"/>
      <c r="Q15" s="111"/>
      <c r="R15" s="811"/>
      <c r="S15" s="111"/>
      <c r="T15" s="111"/>
      <c r="U15" s="812"/>
      <c r="V15" s="813" t="s">
        <v>1437</v>
      </c>
      <c r="W15" s="814"/>
      <c r="X15" s="814"/>
      <c r="Y15" s="814"/>
      <c r="Z15" s="814"/>
      <c r="AA15" s="814"/>
      <c r="AB15" s="814"/>
      <c r="AC15" s="814"/>
      <c r="AD15" s="814"/>
      <c r="AE15" s="814"/>
      <c r="AF15" s="814"/>
      <c r="AG15" s="814"/>
      <c r="AH15" s="814"/>
      <c r="AI15" s="814"/>
      <c r="AJ15" s="814"/>
      <c r="AK15" s="814"/>
      <c r="AL15" s="814"/>
      <c r="AM15" s="814"/>
      <c r="AN15" s="814"/>
      <c r="AO15" s="814"/>
      <c r="AP15" s="814"/>
      <c r="AQ15" s="814"/>
      <c r="AS15" s="79"/>
      <c r="AT15" s="79" t="str">
        <f t="shared" si="1"/>
        <v>Добавить источник для дифференциации</v>
      </c>
      <c r="AU15" s="79"/>
      <c r="AV15" s="79"/>
    </row>
    <row r="16" spans="1:48" s="77" customFormat="1" ht="0.75" hidden="1" customHeight="1">
      <c r="A16" s="827"/>
      <c r="B16" s="827"/>
      <c r="C16" s="827"/>
      <c r="D16" s="827"/>
      <c r="E16" s="1372"/>
      <c r="F16" s="1371"/>
      <c r="G16" s="827"/>
      <c r="H16" s="827"/>
      <c r="I16" s="827"/>
      <c r="J16" s="827"/>
      <c r="K16" s="827"/>
      <c r="L16" s="827"/>
      <c r="M16" s="828"/>
      <c r="N16" s="830"/>
      <c r="O16" s="830"/>
      <c r="P16" s="216"/>
      <c r="Q16" s="111"/>
      <c r="R16" s="811"/>
      <c r="S16" s="111"/>
      <c r="T16" s="111"/>
      <c r="U16" s="816"/>
      <c r="V16" s="817" t="s">
        <v>1438</v>
      </c>
      <c r="W16" s="338"/>
      <c r="X16" s="338"/>
      <c r="Y16" s="338"/>
      <c r="Z16" s="338"/>
      <c r="AA16" s="338"/>
      <c r="AB16" s="338"/>
      <c r="AC16" s="338"/>
      <c r="AD16" s="338"/>
      <c r="AE16" s="338"/>
      <c r="AF16" s="338"/>
      <c r="AG16" s="338"/>
      <c r="AH16" s="338"/>
      <c r="AI16" s="338"/>
      <c r="AJ16" s="338"/>
      <c r="AK16" s="338"/>
      <c r="AL16" s="338"/>
      <c r="AM16" s="338"/>
      <c r="AN16" s="338"/>
      <c r="AO16" s="338"/>
      <c r="AP16" s="338"/>
      <c r="AQ16" s="338"/>
      <c r="AS16" s="79"/>
      <c r="AT16" s="79" t="str">
        <f t="shared" si="1"/>
        <v>Добавить централизованную систему для дифференциации</v>
      </c>
      <c r="AU16" s="79"/>
      <c r="AV16" s="79"/>
    </row>
    <row r="17" spans="1:48" s="77" customFormat="1" ht="0.75" hidden="1" customHeight="1">
      <c r="A17" s="827"/>
      <c r="B17" s="827"/>
      <c r="C17" s="827"/>
      <c r="D17" s="827"/>
      <c r="E17" s="1371"/>
      <c r="F17" s="827"/>
      <c r="G17" s="827"/>
      <c r="H17" s="827"/>
      <c r="I17" s="827"/>
      <c r="J17" s="827"/>
      <c r="K17" s="827"/>
      <c r="L17" s="827"/>
      <c r="M17" s="828"/>
      <c r="N17" s="830"/>
      <c r="O17" s="830"/>
      <c r="P17" s="216"/>
      <c r="Q17" s="111"/>
      <c r="R17" s="811"/>
      <c r="S17" s="111"/>
      <c r="T17" s="111"/>
      <c r="U17" s="816"/>
      <c r="V17" s="818" t="s">
        <v>1439</v>
      </c>
      <c r="W17" s="338"/>
      <c r="X17" s="338"/>
      <c r="Y17" s="338"/>
      <c r="Z17" s="338"/>
      <c r="AA17" s="338"/>
      <c r="AB17" s="338"/>
      <c r="AC17" s="338"/>
      <c r="AD17" s="338"/>
      <c r="AE17" s="338"/>
      <c r="AF17" s="338"/>
      <c r="AG17" s="338"/>
      <c r="AH17" s="338"/>
      <c r="AI17" s="338"/>
      <c r="AJ17" s="338"/>
      <c r="AK17" s="338"/>
      <c r="AL17" s="338"/>
      <c r="AM17" s="338"/>
      <c r="AN17" s="338"/>
      <c r="AO17" s="338"/>
      <c r="AP17" s="338"/>
      <c r="AQ17" s="338"/>
      <c r="AS17" s="79"/>
      <c r="AT17" s="79" t="str">
        <f t="shared" si="1"/>
        <v>Добавить территорию для дифференциации</v>
      </c>
      <c r="AU17" s="79"/>
      <c r="AV17" s="79"/>
    </row>
    <row r="18" spans="1:48" ht="14.25" hidden="1" customHeight="1"/>
    <row r="19" spans="1:48" ht="14.25" hidden="1" customHeight="1">
      <c r="AG19" s="1058"/>
      <c r="AH19" s="1058"/>
      <c r="AI19" s="1058"/>
      <c r="AJ19" s="1058"/>
      <c r="AK19" s="1059"/>
      <c r="AL19" s="1335"/>
      <c r="AM19" s="1334" t="s">
        <v>67</v>
      </c>
      <c r="AN19" s="1335"/>
      <c r="AO19" s="1334" t="s">
        <v>67</v>
      </c>
    </row>
    <row r="20" spans="1:48" ht="14.25" hidden="1" customHeight="1">
      <c r="AG20" s="1058"/>
      <c r="AH20" s="1058"/>
      <c r="AI20" s="1058"/>
      <c r="AJ20" s="1058"/>
      <c r="AK20" s="1059"/>
      <c r="AL20" s="1335"/>
      <c r="AM20" s="1334"/>
      <c r="AN20" s="1335"/>
      <c r="AO20" s="1334"/>
    </row>
    <row r="21" spans="1:48" ht="14.25" hidden="1" customHeight="1">
      <c r="AG21" s="1058"/>
      <c r="AH21" s="1058"/>
      <c r="AI21" s="1058"/>
      <c r="AJ21" s="1058"/>
      <c r="AK21" s="1059"/>
      <c r="AL21" s="1335"/>
      <c r="AM21" s="1334"/>
      <c r="AN21" s="1335"/>
      <c r="AO21" s="1334"/>
    </row>
    <row r="22" spans="1:48" ht="14.25" hidden="1" customHeight="1">
      <c r="AG22" s="1058"/>
      <c r="AH22" s="1058"/>
      <c r="AI22" s="1058"/>
      <c r="AJ22" s="1058"/>
      <c r="AK22" s="1057" t="str">
        <f>AL19&amp;"-"&amp;AN19</f>
        <v>-</v>
      </c>
      <c r="AL22" s="1334"/>
      <c r="AM22" s="1334"/>
      <c r="AN22" s="1334"/>
      <c r="AO22" s="1334"/>
    </row>
    <row r="23" spans="1:48" ht="14.25" hidden="1" customHeight="1"/>
    <row r="24" spans="1:48" s="72" customFormat="1" ht="22.5" hidden="1" customHeight="1">
      <c r="A24" s="24"/>
      <c r="B24" s="24"/>
      <c r="C24" s="24"/>
      <c r="D24" s="24"/>
      <c r="E24" s="24"/>
      <c r="F24" s="24"/>
      <c r="G24" s="24"/>
      <c r="H24" s="24"/>
      <c r="I24" s="24"/>
      <c r="J24" s="24"/>
      <c r="K24" s="24"/>
      <c r="L24" s="24"/>
      <c r="M24" s="68"/>
      <c r="N24" s="42"/>
      <c r="O24" s="42"/>
      <c r="P24" s="194" t="s">
        <v>1479</v>
      </c>
      <c r="Q24" s="541"/>
      <c r="R24" s="825"/>
      <c r="S24" s="825"/>
      <c r="T24" s="825"/>
      <c r="U24" s="452"/>
      <c r="AC24" s="824"/>
      <c r="AE24" s="824"/>
      <c r="AL24" s="824"/>
      <c r="AN24" s="824"/>
      <c r="AR24" s="77"/>
      <c r="AS24" s="77"/>
      <c r="AT24" s="77"/>
      <c r="AU24" s="77"/>
      <c r="AV24" s="77"/>
    </row>
    <row r="25" spans="1:48" s="72" customFormat="1" ht="14.25" hidden="1" customHeight="1">
      <c r="A25" s="24"/>
      <c r="B25" s="24"/>
      <c r="C25" s="24"/>
      <c r="D25" s="24"/>
      <c r="E25" s="24"/>
      <c r="F25" s="24"/>
      <c r="G25" s="24"/>
      <c r="H25" s="24"/>
      <c r="I25" s="24"/>
      <c r="J25" s="24"/>
      <c r="K25" s="24"/>
      <c r="L25" s="24"/>
      <c r="M25" s="68"/>
      <c r="N25" s="42"/>
      <c r="O25" s="42"/>
      <c r="P25" s="42"/>
      <c r="Q25" s="541"/>
      <c r="R25" s="825"/>
      <c r="S25" s="825"/>
      <c r="T25" s="825"/>
      <c r="U25" s="452"/>
      <c r="AR25" s="77"/>
      <c r="AS25" s="77"/>
      <c r="AT25" s="77"/>
      <c r="AU25" s="77"/>
      <c r="AV25" s="77"/>
    </row>
    <row r="26" spans="1:48" s="72" customFormat="1" ht="14.25" hidden="1" customHeight="1">
      <c r="A26" s="24"/>
      <c r="B26" s="24"/>
      <c r="C26" s="24"/>
      <c r="D26" s="24"/>
      <c r="E26" s="24"/>
      <c r="F26" s="24"/>
      <c r="G26" s="24"/>
      <c r="H26" s="24"/>
      <c r="I26" s="24"/>
      <c r="J26" s="24"/>
      <c r="K26" s="24"/>
      <c r="L26" s="24"/>
      <c r="M26" s="68"/>
      <c r="N26" s="42"/>
      <c r="O26" s="42"/>
      <c r="P26" s="810" t="s">
        <v>1480</v>
      </c>
      <c r="Q26" s="541"/>
      <c r="R26" s="825"/>
      <c r="S26" s="825"/>
      <c r="T26" s="825"/>
      <c r="U26" s="452"/>
      <c r="V26" s="72" t="s">
        <v>1481</v>
      </c>
      <c r="AD26" s="91" t="s">
        <v>1482</v>
      </c>
      <c r="AF26" s="91" t="s">
        <v>1483</v>
      </c>
      <c r="AG26" s="72" t="s">
        <v>1481</v>
      </c>
      <c r="AM26" s="91" t="s">
        <v>1484</v>
      </c>
      <c r="AO26" s="91" t="s">
        <v>1483</v>
      </c>
      <c r="AR26" s="77"/>
      <c r="AS26" s="77"/>
      <c r="AT26" s="77"/>
      <c r="AU26" s="77"/>
      <c r="AV26" s="77"/>
    </row>
    <row r="27" spans="1:48" ht="14.25" hidden="1" customHeight="1">
      <c r="P27" s="810"/>
    </row>
    <row r="28" spans="1:48" ht="14.25" hidden="1" customHeight="1">
      <c r="P28" s="810"/>
    </row>
    <row r="29" spans="1:48" ht="14.25" customHeight="1">
      <c r="R29" s="36"/>
      <c r="S29" s="36"/>
      <c r="T29" s="36"/>
      <c r="U29" s="793"/>
      <c r="V29" s="25"/>
      <c r="W29" s="25"/>
    </row>
    <row r="30" spans="1:48" ht="64.5" customHeight="1">
      <c r="R30" s="36"/>
      <c r="S30" s="36"/>
      <c r="T30" s="36"/>
      <c r="U30" s="1181" t="str">
        <f>IF(TEMPLATE_GROUP="P",PT_P_FORM_HEAT_6_NAME_FORM,PT_R_FORM_HEAT_23_NAME_FORM)</f>
        <v>Форма 23. Информация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181"/>
      <c r="W30" s="1181"/>
      <c r="X30" s="1181"/>
      <c r="Y30" s="1181"/>
      <c r="Z30" s="1181"/>
      <c r="AA30" s="1181"/>
      <c r="AB30" s="1181"/>
      <c r="AC30" s="1181"/>
      <c r="AD30" s="1181"/>
      <c r="AE30" s="1181"/>
      <c r="AF30" s="1181"/>
      <c r="AG30" s="1181"/>
      <c r="AH30" s="1181"/>
      <c r="AI30" s="1181"/>
      <c r="AJ30" s="1181"/>
      <c r="AK30" s="1181"/>
      <c r="AL30" s="1181"/>
      <c r="AM30" s="1181"/>
      <c r="AN30" s="1181"/>
      <c r="AO30" s="69"/>
    </row>
    <row r="31" spans="1:48" ht="14.25" customHeight="1">
      <c r="R31" s="36"/>
      <c r="S31" s="36"/>
      <c r="T31" s="36"/>
      <c r="U31" s="1204" t="str">
        <f>IF(org=0,"Не определено",org)</f>
        <v>ООО "ТЕПЛО ПЛЮС"</v>
      </c>
      <c r="V31" s="1204"/>
      <c r="W31" s="1204"/>
      <c r="X31" s="1204"/>
      <c r="Y31" s="1204"/>
      <c r="Z31" s="1204"/>
      <c r="AA31" s="1204"/>
      <c r="AB31" s="1204"/>
      <c r="AC31" s="1204"/>
      <c r="AD31" s="1204"/>
      <c r="AE31" s="1204"/>
      <c r="AF31" s="1204"/>
      <c r="AG31" s="1204"/>
      <c r="AH31" s="1204"/>
      <c r="AI31" s="1204"/>
      <c r="AJ31" s="1204"/>
      <c r="AK31" s="1204"/>
      <c r="AL31" s="1204"/>
      <c r="AM31" s="1204"/>
      <c r="AN31" s="1204"/>
      <c r="AO31" s="69"/>
    </row>
    <row r="32" spans="1:48" ht="14.25" hidden="1" customHeight="1">
      <c r="R32" s="36"/>
      <c r="S32" s="36"/>
      <c r="T32" s="36"/>
      <c r="U32" s="793"/>
      <c r="V32" s="25"/>
      <c r="W32" s="25"/>
      <c r="X32" s="202"/>
      <c r="Y32" s="202"/>
      <c r="Z32" s="202"/>
      <c r="AA32" s="202"/>
      <c r="AB32" s="202"/>
      <c r="AC32" s="202"/>
      <c r="AD32" s="202"/>
      <c r="AE32" s="202"/>
      <c r="AF32" s="202"/>
      <c r="AG32" s="202"/>
      <c r="AH32" s="202"/>
      <c r="AI32" s="202"/>
      <c r="AJ32" s="202"/>
      <c r="AK32" s="202"/>
      <c r="AL32" s="202"/>
      <c r="AM32" s="202"/>
      <c r="AN32" s="202"/>
      <c r="AO32" s="202"/>
    </row>
    <row r="33" spans="1:48" s="44" customFormat="1" ht="25.5" hidden="1" customHeight="1">
      <c r="A33" s="369"/>
      <c r="B33" s="369"/>
      <c r="C33" s="369"/>
      <c r="D33" s="369"/>
      <c r="E33" s="369"/>
      <c r="F33" s="369"/>
      <c r="G33" s="369"/>
      <c r="H33" s="369"/>
      <c r="I33" s="369"/>
      <c r="J33" s="369"/>
      <c r="K33" s="369"/>
      <c r="L33" s="369"/>
      <c r="M33" s="810"/>
      <c r="N33" s="369"/>
      <c r="O33" s="369"/>
      <c r="P33" s="369"/>
      <c r="U33" s="1329" t="s">
        <v>39</v>
      </c>
      <c r="V33" s="1329"/>
      <c r="W33" s="826"/>
      <c r="X33" s="1330" t="str">
        <f>IF(TITLE_NAME_OR_PR_CHANGE="",IF(TITLE_NAME_OR_PR="","",TITLE_NAME_OR_PR),TITLE_NAME_OR_PR_CHANGE)</f>
        <v/>
      </c>
      <c r="Y33" s="1330"/>
      <c r="Z33" s="1330"/>
      <c r="AA33" s="1330"/>
      <c r="AB33" s="1330"/>
      <c r="AC33" s="1330"/>
      <c r="AD33" s="1330"/>
      <c r="AE33" s="1330"/>
      <c r="AF33" s="24"/>
      <c r="AG33" s="1330" t="str">
        <f>IF(TITLE_NAME_OR_PR_CHANGE="",IF(TITLE_NAME_OR_PR="","",TITLE_NAME_OR_PR),TITLE_NAME_OR_PR_CHANGE)</f>
        <v/>
      </c>
      <c r="AH33" s="1330"/>
      <c r="AI33" s="1330"/>
      <c r="AJ33" s="1330"/>
      <c r="AK33" s="1330"/>
      <c r="AL33" s="1330"/>
      <c r="AM33" s="1330"/>
      <c r="AN33" s="1330"/>
      <c r="AO33" s="24"/>
      <c r="AP33" s="24"/>
      <c r="AQ33" s="171"/>
      <c r="AR33" s="79"/>
      <c r="AS33" s="79"/>
      <c r="AT33" s="79"/>
      <c r="AU33" s="79"/>
      <c r="AV33" s="79"/>
    </row>
    <row r="34" spans="1:48" s="44" customFormat="1" ht="18.75" hidden="1" customHeight="1">
      <c r="A34" s="369"/>
      <c r="B34" s="369"/>
      <c r="C34" s="369"/>
      <c r="D34" s="369"/>
      <c r="E34" s="369"/>
      <c r="F34" s="369"/>
      <c r="G34" s="369"/>
      <c r="H34" s="369"/>
      <c r="I34" s="369"/>
      <c r="J34" s="369"/>
      <c r="K34" s="369"/>
      <c r="L34" s="369"/>
      <c r="M34" s="810"/>
      <c r="N34" s="369"/>
      <c r="O34" s="369"/>
      <c r="P34" s="369"/>
      <c r="U34" s="1329" t="s">
        <v>1485</v>
      </c>
      <c r="V34" s="1329"/>
      <c r="W34" s="826"/>
      <c r="X34" s="1330" t="str">
        <f>IF(TITLE_DATE_CHANGE_PERIOD="",IF(TITLE_DATE_PR="","",TITLE_DATE_PR),TITLE_DATE_CHANGE_PERIOD)</f>
        <v/>
      </c>
      <c r="Y34" s="1330"/>
      <c r="Z34" s="1330"/>
      <c r="AA34" s="1330"/>
      <c r="AB34" s="1330"/>
      <c r="AC34" s="1330"/>
      <c r="AD34" s="1330"/>
      <c r="AE34" s="1330"/>
      <c r="AF34" s="24"/>
      <c r="AG34" s="1330" t="str">
        <f>IF(TITLE_DATE_CHANGE_PERIOD="",IF(TITLE_DATE_PR="","",TITLE_DATE_PR),TITLE_DATE_CHANGE_PERIOD)</f>
        <v/>
      </c>
      <c r="AH34" s="1330"/>
      <c r="AI34" s="1330"/>
      <c r="AJ34" s="1330"/>
      <c r="AK34" s="1330"/>
      <c r="AL34" s="1330"/>
      <c r="AM34" s="1330"/>
      <c r="AN34" s="1330"/>
      <c r="AO34" s="24"/>
      <c r="AP34" s="24"/>
      <c r="AQ34" s="171"/>
      <c r="AR34" s="79"/>
      <c r="AS34" s="79"/>
      <c r="AT34" s="79"/>
      <c r="AU34" s="79"/>
      <c r="AV34" s="79"/>
    </row>
    <row r="35" spans="1:48" s="44" customFormat="1" ht="18.75" hidden="1" customHeight="1">
      <c r="A35" s="369"/>
      <c r="B35" s="369"/>
      <c r="C35" s="369"/>
      <c r="D35" s="369"/>
      <c r="E35" s="369"/>
      <c r="F35" s="369"/>
      <c r="G35" s="369"/>
      <c r="H35" s="369"/>
      <c r="I35" s="369"/>
      <c r="J35" s="369"/>
      <c r="K35" s="369"/>
      <c r="L35" s="369"/>
      <c r="M35" s="810"/>
      <c r="N35" s="369"/>
      <c r="O35" s="369"/>
      <c r="P35" s="369"/>
      <c r="U35" s="1329" t="s">
        <v>1486</v>
      </c>
      <c r="V35" s="1329"/>
      <c r="W35" s="826"/>
      <c r="X35" s="1330" t="str">
        <f>IF(TITLE_NUMBER_PR_CHANGE="",IF(TITLE_NUMBER_PR="","",TITLE_NUMBER_PR),TITLE_NUMBER_PR_CHANGE)</f>
        <v/>
      </c>
      <c r="Y35" s="1330"/>
      <c r="Z35" s="1330"/>
      <c r="AA35" s="1330"/>
      <c r="AB35" s="1330"/>
      <c r="AC35" s="1330"/>
      <c r="AD35" s="1330"/>
      <c r="AE35" s="1330"/>
      <c r="AF35" s="24"/>
      <c r="AG35" s="1330" t="str">
        <f>IF(TITLE_NUMBER_PR_CHANGE="",IF(TITLE_NUMBER_PR="","",TITLE_NUMBER_PR),TITLE_NUMBER_PR_CHANGE)</f>
        <v/>
      </c>
      <c r="AH35" s="1330"/>
      <c r="AI35" s="1330"/>
      <c r="AJ35" s="1330"/>
      <c r="AK35" s="1330"/>
      <c r="AL35" s="1330"/>
      <c r="AM35" s="1330"/>
      <c r="AN35" s="1330"/>
      <c r="AO35" s="24"/>
      <c r="AP35" s="24"/>
      <c r="AQ35" s="171"/>
      <c r="AR35" s="79"/>
      <c r="AS35" s="79"/>
      <c r="AT35" s="79"/>
      <c r="AU35" s="79"/>
      <c r="AV35" s="79"/>
    </row>
    <row r="36" spans="1:48" s="44" customFormat="1" ht="18.75" hidden="1" customHeight="1">
      <c r="A36" s="369"/>
      <c r="B36" s="369"/>
      <c r="C36" s="369"/>
      <c r="D36" s="369"/>
      <c r="E36" s="369"/>
      <c r="F36" s="369"/>
      <c r="G36" s="369"/>
      <c r="H36" s="369"/>
      <c r="I36" s="369"/>
      <c r="J36" s="369"/>
      <c r="K36" s="369"/>
      <c r="L36" s="369"/>
      <c r="M36" s="810"/>
      <c r="N36" s="369"/>
      <c r="O36" s="369"/>
      <c r="P36" s="369"/>
      <c r="U36" s="1329" t="s">
        <v>40</v>
      </c>
      <c r="V36" s="1329"/>
      <c r="W36" s="826"/>
      <c r="X36" s="1330" t="str">
        <f>IF(TITLE_IST_PUB_CHANGE="",IF(TITLE_IST_PUB="","",TITLE_IST_PUB),TITLE_IST_PUB_CHANGE)</f>
        <v/>
      </c>
      <c r="Y36" s="1330"/>
      <c r="Z36" s="1330"/>
      <c r="AA36" s="1330"/>
      <c r="AB36" s="1330"/>
      <c r="AC36" s="1330"/>
      <c r="AD36" s="1330"/>
      <c r="AE36" s="1330"/>
      <c r="AF36" s="24"/>
      <c r="AG36" s="1330" t="str">
        <f>IF(TITLE_IST_PUB_CHANGE="",IF(TITLE_IST_PUB="","",TITLE_IST_PUB),TITLE_IST_PUB_CHANGE)</f>
        <v/>
      </c>
      <c r="AH36" s="1330"/>
      <c r="AI36" s="1330"/>
      <c r="AJ36" s="1330"/>
      <c r="AK36" s="1330"/>
      <c r="AL36" s="1330"/>
      <c r="AM36" s="1330"/>
      <c r="AN36" s="1330"/>
      <c r="AO36" s="24"/>
      <c r="AP36" s="24"/>
      <c r="AQ36" s="171"/>
      <c r="AR36" s="79"/>
      <c r="AS36" s="79"/>
      <c r="AT36" s="79"/>
      <c r="AU36" s="79"/>
      <c r="AV36" s="79"/>
    </row>
    <row r="37" spans="1:48" ht="14.25" hidden="1" customHeight="1">
      <c r="R37" s="36"/>
      <c r="S37" s="36"/>
      <c r="T37" s="36"/>
      <c r="U37" s="793"/>
      <c r="V37" s="25"/>
      <c r="W37" s="25"/>
      <c r="X37" s="202"/>
      <c r="Y37" s="202"/>
      <c r="Z37" s="202"/>
      <c r="AA37" s="202"/>
      <c r="AB37" s="202"/>
      <c r="AC37" s="202"/>
      <c r="AD37" s="202"/>
      <c r="AE37" s="202"/>
      <c r="AF37" s="202"/>
      <c r="AG37" s="202"/>
      <c r="AH37" s="202"/>
      <c r="AI37" s="202"/>
      <c r="AJ37" s="202"/>
      <c r="AK37" s="202"/>
      <c r="AL37" s="202"/>
      <c r="AM37" s="202"/>
      <c r="AN37" s="202"/>
      <c r="AO37" s="202"/>
    </row>
    <row r="38" spans="1:48" s="44" customFormat="1" ht="18.75" hidden="1" customHeight="1">
      <c r="A38" s="369"/>
      <c r="B38" s="369"/>
      <c r="C38" s="369"/>
      <c r="D38" s="369"/>
      <c r="E38" s="369"/>
      <c r="F38" s="369"/>
      <c r="G38" s="369"/>
      <c r="H38" s="369"/>
      <c r="I38" s="369"/>
      <c r="J38" s="369"/>
      <c r="K38" s="369"/>
      <c r="L38" s="369"/>
      <c r="M38" s="810"/>
      <c r="N38" s="369"/>
      <c r="O38" s="369"/>
      <c r="P38" s="369"/>
      <c r="U38" s="1329" t="s">
        <v>1487</v>
      </c>
      <c r="V38" s="1329"/>
      <c r="W38" s="826"/>
      <c r="X38" s="1330" t="str">
        <f>IF(TITLE_DATE_CHANGE_PERIOD="",IF(TITLE_DATE_PR="","",TITLE_DATE_PR),TITLE_DATE_CHANGE_PERIOD)</f>
        <v/>
      </c>
      <c r="Y38" s="1330"/>
      <c r="Z38" s="1330"/>
      <c r="AA38" s="1330"/>
      <c r="AB38" s="1330"/>
      <c r="AC38" s="1330"/>
      <c r="AD38" s="1330"/>
      <c r="AE38" s="1330"/>
      <c r="AF38" s="24"/>
      <c r="AG38" s="1330" t="str">
        <f>IF(TITLE_DATE_CHANGE_PERIOD="",IF(TITLE_DATE_PR="","",TITLE_DATE_PR),TITLE_DATE_CHANGE_PERIOD)</f>
        <v/>
      </c>
      <c r="AH38" s="1330"/>
      <c r="AI38" s="1330"/>
      <c r="AJ38" s="1330"/>
      <c r="AK38" s="1330"/>
      <c r="AL38" s="1330"/>
      <c r="AM38" s="1330"/>
      <c r="AN38" s="1330"/>
      <c r="AO38" s="24"/>
      <c r="AP38" s="24"/>
      <c r="AQ38" s="171"/>
      <c r="AR38" s="79"/>
      <c r="AS38" s="79"/>
      <c r="AT38" s="79"/>
      <c r="AU38" s="79"/>
      <c r="AV38" s="79"/>
    </row>
    <row r="39" spans="1:48" s="44" customFormat="1" ht="18.75" hidden="1" customHeight="1">
      <c r="A39" s="369"/>
      <c r="B39" s="369"/>
      <c r="C39" s="369"/>
      <c r="D39" s="369"/>
      <c r="E39" s="369"/>
      <c r="F39" s="369"/>
      <c r="G39" s="369"/>
      <c r="H39" s="369"/>
      <c r="I39" s="369"/>
      <c r="J39" s="369"/>
      <c r="K39" s="369"/>
      <c r="L39" s="369"/>
      <c r="M39" s="810"/>
      <c r="N39" s="369"/>
      <c r="O39" s="369"/>
      <c r="P39" s="369"/>
      <c r="U39" s="1329" t="s">
        <v>1488</v>
      </c>
      <c r="V39" s="1329"/>
      <c r="W39" s="826"/>
      <c r="X39" s="1330" t="str">
        <f>IF(TITLE_NUMBER_PR_CHANGE="",IF(TITLE_NUMBER_PR="","",TITLE_NUMBER_PR),TITLE_NUMBER_PR_CHANGE)</f>
        <v/>
      </c>
      <c r="Y39" s="1330"/>
      <c r="Z39" s="1330"/>
      <c r="AA39" s="1330"/>
      <c r="AB39" s="1330"/>
      <c r="AC39" s="1330"/>
      <c r="AD39" s="1330"/>
      <c r="AE39" s="1330"/>
      <c r="AF39" s="24"/>
      <c r="AG39" s="1330" t="str">
        <f>IF(TITLE_NUMBER_PR_CHANGE="",IF(TITLE_NUMBER_PR="","",TITLE_NUMBER_PR),TITLE_NUMBER_PR_CHANGE)</f>
        <v/>
      </c>
      <c r="AH39" s="1330"/>
      <c r="AI39" s="1330"/>
      <c r="AJ39" s="1330"/>
      <c r="AK39" s="1330"/>
      <c r="AL39" s="1330"/>
      <c r="AM39" s="1330"/>
      <c r="AN39" s="1330"/>
      <c r="AO39" s="24"/>
      <c r="AP39" s="24"/>
      <c r="AQ39" s="171"/>
      <c r="AR39" s="79"/>
      <c r="AS39" s="79"/>
      <c r="AT39" s="79"/>
      <c r="AU39" s="79"/>
      <c r="AV39" s="79"/>
    </row>
    <row r="40" spans="1:48" s="44" customFormat="1" ht="0" hidden="1" customHeight="1">
      <c r="A40" s="369"/>
      <c r="B40" s="369"/>
      <c r="C40" s="369"/>
      <c r="D40" s="369"/>
      <c r="E40" s="369"/>
      <c r="F40" s="369"/>
      <c r="G40" s="369"/>
      <c r="H40" s="369"/>
      <c r="I40" s="369"/>
      <c r="J40" s="369"/>
      <c r="K40" s="369"/>
      <c r="L40" s="369"/>
      <c r="M40" s="810"/>
      <c r="N40" s="369"/>
      <c r="O40" s="369"/>
      <c r="P40" s="369"/>
      <c r="U40" s="24"/>
      <c r="V40" s="24"/>
      <c r="W40" s="87"/>
      <c r="X40" s="24"/>
      <c r="Y40" s="24"/>
      <c r="Z40" s="24"/>
      <c r="AA40" s="24"/>
      <c r="AB40" s="24"/>
      <c r="AC40" s="24"/>
      <c r="AD40" s="24"/>
      <c r="AE40" s="24"/>
      <c r="AF40" s="77" t="s">
        <v>1489</v>
      </c>
      <c r="AG40" s="24"/>
      <c r="AH40" s="24"/>
      <c r="AI40" s="24"/>
      <c r="AJ40" s="24"/>
      <c r="AK40" s="24"/>
      <c r="AL40" s="24"/>
      <c r="AM40" s="24"/>
      <c r="AN40" s="24"/>
      <c r="AO40" s="77" t="s">
        <v>1489</v>
      </c>
      <c r="AR40" s="79"/>
      <c r="AS40" s="79"/>
      <c r="AT40" s="79"/>
      <c r="AU40" s="79"/>
      <c r="AV40" s="79"/>
    </row>
    <row r="41" spans="1:48" ht="14.25" customHeight="1">
      <c r="R41" s="36"/>
      <c r="S41" s="36"/>
      <c r="T41" s="36"/>
      <c r="U41" s="793"/>
      <c r="V41" s="25"/>
      <c r="W41" s="766"/>
      <c r="X41" s="1348"/>
      <c r="Y41" s="1348"/>
      <c r="Z41" s="1348"/>
      <c r="AA41" s="1348"/>
      <c r="AB41" s="1348"/>
      <c r="AC41" s="1348"/>
      <c r="AD41" s="1348"/>
      <c r="AE41" s="1348"/>
      <c r="AF41" s="1348"/>
      <c r="AG41" s="1348"/>
      <c r="AH41" s="1348"/>
      <c r="AI41" s="1348"/>
      <c r="AJ41" s="1348"/>
      <c r="AK41" s="1348"/>
      <c r="AL41" s="1348"/>
      <c r="AM41" s="1348"/>
      <c r="AN41" s="1348"/>
      <c r="AO41" s="1348"/>
    </row>
    <row r="42" spans="1:48" ht="14.25" customHeight="1">
      <c r="R42" s="36"/>
      <c r="S42" s="36"/>
      <c r="T42" s="36"/>
      <c r="U42" s="1123" t="s">
        <v>292</v>
      </c>
      <c r="V42" s="1123"/>
      <c r="W42" s="1123"/>
      <c r="X42" s="1123"/>
      <c r="Y42" s="1123"/>
      <c r="Z42" s="1123"/>
      <c r="AA42" s="1123"/>
      <c r="AB42" s="1123"/>
      <c r="AC42" s="1123"/>
      <c r="AD42" s="1123"/>
      <c r="AE42" s="1123"/>
      <c r="AF42" s="1123"/>
      <c r="AG42" s="1123"/>
      <c r="AH42" s="1123"/>
      <c r="AI42" s="1123"/>
      <c r="AJ42" s="1123"/>
      <c r="AK42" s="1123"/>
      <c r="AL42" s="1123"/>
      <c r="AM42" s="1123"/>
      <c r="AN42" s="1123"/>
      <c r="AO42" s="1123"/>
      <c r="AP42" s="1123"/>
      <c r="AQ42" s="1123" t="s">
        <v>293</v>
      </c>
    </row>
    <row r="43" spans="1:48" ht="14.25" customHeight="1">
      <c r="R43" s="36"/>
      <c r="S43" s="36"/>
      <c r="T43" s="36"/>
      <c r="U43" s="1349" t="s">
        <v>88</v>
      </c>
      <c r="V43" s="1213" t="s">
        <v>1490</v>
      </c>
      <c r="W43" s="180"/>
      <c r="X43" s="1350" t="s">
        <v>1491</v>
      </c>
      <c r="Y43" s="1364"/>
      <c r="Z43" s="1364"/>
      <c r="AA43" s="1364"/>
      <c r="AB43" s="1364"/>
      <c r="AC43" s="1351"/>
      <c r="AD43" s="1351"/>
      <c r="AE43" s="1352"/>
      <c r="AF43" s="1353" t="s">
        <v>1492</v>
      </c>
      <c r="AG43" s="1350" t="s">
        <v>1491</v>
      </c>
      <c r="AH43" s="1364"/>
      <c r="AI43" s="1364"/>
      <c r="AJ43" s="1364"/>
      <c r="AK43" s="1364"/>
      <c r="AL43" s="1351"/>
      <c r="AM43" s="1351"/>
      <c r="AN43" s="1352"/>
      <c r="AO43" s="1353" t="s">
        <v>1493</v>
      </c>
      <c r="AP43" s="1356" t="s">
        <v>1494</v>
      </c>
      <c r="AQ43" s="1123"/>
    </row>
    <row r="44" spans="1:48" ht="33.75" customHeight="1">
      <c r="R44" s="36"/>
      <c r="S44" s="36"/>
      <c r="T44" s="36"/>
      <c r="U44" s="1349"/>
      <c r="V44" s="1213"/>
      <c r="W44" s="647"/>
      <c r="X44" s="1183" t="s">
        <v>1527</v>
      </c>
      <c r="Y44" s="1123" t="s">
        <v>1528</v>
      </c>
      <c r="Z44" s="1123"/>
      <c r="AA44" s="1123"/>
      <c r="AB44" s="1123"/>
      <c r="AC44" s="1183" t="s">
        <v>1498</v>
      </c>
      <c r="AD44" s="1369"/>
      <c r="AE44" s="1184"/>
      <c r="AF44" s="1354"/>
      <c r="AG44" s="1183" t="s">
        <v>1527</v>
      </c>
      <c r="AH44" s="1123" t="s">
        <v>1528</v>
      </c>
      <c r="AI44" s="1123"/>
      <c r="AJ44" s="1123"/>
      <c r="AK44" s="1123"/>
      <c r="AL44" s="1183" t="s">
        <v>1498</v>
      </c>
      <c r="AM44" s="1369"/>
      <c r="AN44" s="1184"/>
      <c r="AO44" s="1354"/>
      <c r="AP44" s="1357"/>
      <c r="AQ44" s="1123"/>
    </row>
    <row r="45" spans="1:48" ht="14.25" customHeight="1">
      <c r="R45" s="36"/>
      <c r="S45" s="36"/>
      <c r="T45" s="36"/>
      <c r="U45" s="1349"/>
      <c r="V45" s="1213"/>
      <c r="W45" s="647"/>
      <c r="X45" s="1185"/>
      <c r="Y45" s="1220" t="s">
        <v>1529</v>
      </c>
      <c r="Z45" s="1219" t="s">
        <v>1530</v>
      </c>
      <c r="AA45" s="1232"/>
      <c r="AB45" s="1233"/>
      <c r="AC45" s="1188"/>
      <c r="AD45" s="1370"/>
      <c r="AE45" s="1189"/>
      <c r="AF45" s="1354"/>
      <c r="AG45" s="1185"/>
      <c r="AH45" s="1220" t="s">
        <v>1529</v>
      </c>
      <c r="AI45" s="1219" t="s">
        <v>1530</v>
      </c>
      <c r="AJ45" s="1232"/>
      <c r="AK45" s="1233"/>
      <c r="AL45" s="1188"/>
      <c r="AM45" s="1370"/>
      <c r="AN45" s="1189"/>
      <c r="AO45" s="1354"/>
      <c r="AP45" s="1357"/>
      <c r="AQ45" s="1123"/>
    </row>
    <row r="46" spans="1:48" ht="25.5" customHeight="1">
      <c r="R46" s="36"/>
      <c r="S46" s="36"/>
      <c r="T46" s="36"/>
      <c r="U46" s="1349"/>
      <c r="V46" s="1213"/>
      <c r="W46" s="647"/>
      <c r="X46" s="1185"/>
      <c r="Y46" s="1368"/>
      <c r="Z46" s="1220" t="s">
        <v>1531</v>
      </c>
      <c r="AA46" s="1219" t="s">
        <v>1532</v>
      </c>
      <c r="AB46" s="1233"/>
      <c r="AC46" s="1220" t="s">
        <v>1508</v>
      </c>
      <c r="AD46" s="1224" t="s">
        <v>1509</v>
      </c>
      <c r="AE46" s="1222"/>
      <c r="AF46" s="1354"/>
      <c r="AG46" s="1185"/>
      <c r="AH46" s="1368"/>
      <c r="AI46" s="1220" t="s">
        <v>1531</v>
      </c>
      <c r="AJ46" s="1219" t="s">
        <v>1532</v>
      </c>
      <c r="AK46" s="1233"/>
      <c r="AL46" s="1220" t="s">
        <v>1508</v>
      </c>
      <c r="AM46" s="1224" t="s">
        <v>1509</v>
      </c>
      <c r="AN46" s="1222"/>
      <c r="AO46" s="1354"/>
      <c r="AP46" s="1357"/>
      <c r="AQ46" s="1123"/>
    </row>
    <row r="47" spans="1:48" ht="62.25" customHeight="1">
      <c r="A47" s="369"/>
      <c r="B47" s="369" t="s">
        <v>136</v>
      </c>
      <c r="C47" s="369" t="s">
        <v>137</v>
      </c>
      <c r="D47" s="369" t="s">
        <v>138</v>
      </c>
      <c r="E47" s="810" t="s">
        <v>1499</v>
      </c>
      <c r="F47" s="810" t="s">
        <v>1500</v>
      </c>
      <c r="G47" s="810" t="s">
        <v>1501</v>
      </c>
      <c r="H47" s="810" t="s">
        <v>1502</v>
      </c>
      <c r="I47" s="810" t="s">
        <v>1503</v>
      </c>
      <c r="J47" s="810" t="s">
        <v>1504</v>
      </c>
      <c r="K47" s="810" t="s">
        <v>1505</v>
      </c>
      <c r="L47" s="810" t="s">
        <v>1533</v>
      </c>
      <c r="M47" s="810" t="s">
        <v>1480</v>
      </c>
      <c r="R47" s="36"/>
      <c r="S47" s="36"/>
      <c r="T47" s="36"/>
      <c r="U47" s="1349"/>
      <c r="V47" s="1213"/>
      <c r="W47" s="181"/>
      <c r="X47" s="1188"/>
      <c r="Y47" s="1221"/>
      <c r="Z47" s="1221"/>
      <c r="AA47" s="48" t="s">
        <v>1534</v>
      </c>
      <c r="AB47" s="48" t="s">
        <v>1535</v>
      </c>
      <c r="AC47" s="1221"/>
      <c r="AD47" s="1225"/>
      <c r="AE47" s="1223"/>
      <c r="AF47" s="1355"/>
      <c r="AG47" s="1188"/>
      <c r="AH47" s="1221"/>
      <c r="AI47" s="1221"/>
      <c r="AJ47" s="48" t="s">
        <v>1534</v>
      </c>
      <c r="AK47" s="48" t="s">
        <v>1535</v>
      </c>
      <c r="AL47" s="1221"/>
      <c r="AM47" s="1225"/>
      <c r="AN47" s="1223"/>
      <c r="AO47" s="1355"/>
      <c r="AP47" s="1358"/>
      <c r="AQ47" s="1123"/>
    </row>
    <row r="48" spans="1:48" s="216" customFormat="1" ht="11.25" hidden="1" customHeight="1">
      <c r="A48" s="369"/>
      <c r="B48" s="369"/>
      <c r="C48" s="369"/>
      <c r="D48" s="369"/>
      <c r="E48" s="369"/>
      <c r="F48" s="369"/>
      <c r="G48" s="369"/>
      <c r="H48" s="369"/>
      <c r="I48" s="369"/>
      <c r="J48" s="369"/>
      <c r="K48" s="369"/>
      <c r="L48" s="369"/>
      <c r="M48" s="810"/>
      <c r="N48" s="42"/>
      <c r="O48" s="42"/>
      <c r="P48" s="42"/>
      <c r="Q48" s="768"/>
      <c r="R48" s="769"/>
      <c r="S48" s="777">
        <v>1</v>
      </c>
      <c r="T48" s="777"/>
      <c r="U48" s="795" t="s">
        <v>109</v>
      </c>
      <c r="V48" s="778" t="s">
        <v>110</v>
      </c>
      <c r="W48" s="767" t="str">
        <f ca="1">OFFSET(W48,0,-1)</f>
        <v>2</v>
      </c>
      <c r="X48" s="779">
        <f ca="1">OFFSET(X48,0,-1)+1</f>
        <v>3</v>
      </c>
      <c r="Y48" s="311"/>
      <c r="Z48" s="311"/>
      <c r="AA48" s="311">
        <f ca="1">OFFSET(AA48,0,-1)+1</f>
        <v>1</v>
      </c>
      <c r="AB48" s="311">
        <f ca="1">OFFSET(AB48,0,-1)+1</f>
        <v>2</v>
      </c>
      <c r="AC48" s="779">
        <f ca="1">OFFSET(AC48,0,-1)+1</f>
        <v>3</v>
      </c>
      <c r="AD48" s="1347">
        <f ca="1">OFFSET(AD48,0,-1)+1</f>
        <v>4</v>
      </c>
      <c r="AE48" s="1347"/>
      <c r="AF48" s="779">
        <f ca="1">OFFSET(AF48,0,-2)+1</f>
        <v>5</v>
      </c>
      <c r="AG48" s="779">
        <f ca="1">OFFSET(AG48,0,-1)+1</f>
        <v>6</v>
      </c>
      <c r="AH48" s="779"/>
      <c r="AI48" s="779"/>
      <c r="AJ48" s="779">
        <f ca="1">OFFSET(AJ48,0,-1)+1</f>
        <v>1</v>
      </c>
      <c r="AK48" s="779">
        <f ca="1">OFFSET(AK48,0,-1)+1</f>
        <v>2</v>
      </c>
      <c r="AL48" s="779">
        <f ca="1">OFFSET(AL48,0,-1)+1</f>
        <v>3</v>
      </c>
      <c r="AM48" s="1347">
        <f ca="1">OFFSET(AM48,0,-1)+1</f>
        <v>4</v>
      </c>
      <c r="AN48" s="1347"/>
      <c r="AO48" s="779">
        <f ca="1">OFFSET(AO48,0,-2)+1</f>
        <v>5</v>
      </c>
      <c r="AP48" s="767">
        <f ca="1">OFFSET(AP48,0,-1)</f>
        <v>5</v>
      </c>
      <c r="AQ48" s="779">
        <f ca="1">OFFSET(AQ48,0,-1)+1</f>
        <v>6</v>
      </c>
      <c r="AR48" s="77"/>
      <c r="AS48" s="77"/>
      <c r="AT48" s="77"/>
      <c r="AU48" s="77"/>
      <c r="AV48" s="77"/>
    </row>
    <row r="49" spans="1:48" ht="21" customHeight="1">
      <c r="A49" s="785" t="s">
        <v>177</v>
      </c>
      <c r="B49" s="785"/>
      <c r="C49" s="785"/>
      <c r="D49" s="785"/>
      <c r="E49" s="1371">
        <v>1</v>
      </c>
      <c r="F49" s="785"/>
      <c r="G49" s="785"/>
      <c r="H49" s="785"/>
      <c r="I49" s="785"/>
      <c r="J49" s="785"/>
      <c r="K49" s="785"/>
      <c r="L49" s="785"/>
      <c r="M49" s="810"/>
      <c r="N49" s="368"/>
      <c r="O49" s="368"/>
      <c r="P49" s="368"/>
      <c r="R49" s="43"/>
      <c r="S49" s="43"/>
      <c r="T49" s="220"/>
      <c r="U49" s="755">
        <f>INDEX(PT_DIFFERENTIATION_NUM_NTAR,MATCH(A49,PT_DIFFERENTIATION_NTAR_ID,0))</f>
        <v>0</v>
      </c>
      <c r="V49" s="76" t="s">
        <v>124</v>
      </c>
      <c r="W49" s="179"/>
      <c r="X49" s="1331"/>
      <c r="Y49" s="1332"/>
      <c r="Z49" s="1332"/>
      <c r="AA49" s="1332"/>
      <c r="AB49" s="1332"/>
      <c r="AC49" s="1332"/>
      <c r="AD49" s="1332"/>
      <c r="AE49" s="1332"/>
      <c r="AF49" s="1333"/>
      <c r="AG49" s="1331" t="str">
        <f>INDEX(PT_DIFFERENTIATION_NTAR,MATCH(A49,PT_DIFFERENTIATION_NTAR_ID,0))</f>
        <v/>
      </c>
      <c r="AH49" s="1332"/>
      <c r="AI49" s="1332"/>
      <c r="AJ49" s="1332"/>
      <c r="AK49" s="1332"/>
      <c r="AL49" s="1332"/>
      <c r="AM49" s="1332"/>
      <c r="AN49" s="1332"/>
      <c r="AO49" s="1332"/>
      <c r="AP49" s="1333"/>
      <c r="AQ49" s="782" t="str">
        <f>"Указывается наименование тарифа в случае "&amp;IF(TEMPLATE_GROUP="P","утверждения","расчёта")&amp;" нескольких тарифов.
В случае наличия нескольких тарифов информация по ним указывается в отдельных строках."</f>
        <v>Указывается наименование тарифа в случае расчёта нескольких тарифов.
В случае наличия нескольких тарифов информация по ним указывается в отдельных строках.</v>
      </c>
      <c r="AS49" s="79"/>
      <c r="AT49" s="79" t="str">
        <f t="shared" ref="AT49:AT65" si="2">IF(V49="","",V49)</f>
        <v>Наименование тарифа</v>
      </c>
      <c r="AU49" s="79"/>
      <c r="AV49" s="79"/>
    </row>
    <row r="50" spans="1:48" ht="21" customHeight="1">
      <c r="A50" s="785" t="s">
        <v>177</v>
      </c>
      <c r="B50" s="785" t="s">
        <v>178</v>
      </c>
      <c r="C50" s="785"/>
      <c r="D50" s="785"/>
      <c r="E50" s="1372"/>
      <c r="F50" s="1371">
        <v>1</v>
      </c>
      <c r="G50" s="785"/>
      <c r="H50" s="785"/>
      <c r="I50" s="785"/>
      <c r="J50" s="785"/>
      <c r="K50" s="785"/>
      <c r="L50" s="785"/>
      <c r="M50" s="810"/>
      <c r="N50" s="368"/>
      <c r="O50" s="368"/>
      <c r="P50" s="368"/>
      <c r="Q50" s="68"/>
      <c r="R50" s="217"/>
      <c r="S50" s="24"/>
      <c r="T50" s="218"/>
      <c r="U50" s="755" t="str">
        <f>INDEX(PT_DIFFERENTIATION_NUM_TER,MATCH(B50,PT_DIFFERENTIATION_TER_ID,0))</f>
        <v>.</v>
      </c>
      <c r="V50" s="187" t="s">
        <v>1462</v>
      </c>
      <c r="W50" s="179"/>
      <c r="X50" s="1331"/>
      <c r="Y50" s="1332"/>
      <c r="Z50" s="1332"/>
      <c r="AA50" s="1332"/>
      <c r="AB50" s="1332"/>
      <c r="AC50" s="1332"/>
      <c r="AD50" s="1332"/>
      <c r="AE50" s="1332"/>
      <c r="AF50" s="1333"/>
      <c r="AG50" s="1331" t="str">
        <f>INDEX(PT_DIFFERENTIATION_TER,MATCH(B50,PT_DIFFERENTIATION_TER_ID,0))</f>
        <v/>
      </c>
      <c r="AH50" s="1332"/>
      <c r="AI50" s="1332"/>
      <c r="AJ50" s="1332"/>
      <c r="AK50" s="1332"/>
      <c r="AL50" s="1332"/>
      <c r="AM50" s="1332"/>
      <c r="AN50" s="1332"/>
      <c r="AO50" s="1332"/>
      <c r="AP50" s="1333"/>
      <c r="AQ50" s="782" t="s">
        <v>1463</v>
      </c>
      <c r="AS50" s="79"/>
      <c r="AT50" s="79" t="str">
        <f t="shared" si="2"/>
        <v>Территория действия тарифа</v>
      </c>
      <c r="AU50" s="79"/>
      <c r="AV50" s="79"/>
    </row>
    <row r="51" spans="1:48" ht="22.5" customHeight="1">
      <c r="A51" s="785" t="s">
        <v>177</v>
      </c>
      <c r="B51" s="785" t="s">
        <v>178</v>
      </c>
      <c r="C51" s="785" t="s">
        <v>179</v>
      </c>
      <c r="D51" s="785"/>
      <c r="E51" s="1372"/>
      <c r="F51" s="1372"/>
      <c r="G51" s="1371">
        <v>1</v>
      </c>
      <c r="H51" s="785"/>
      <c r="I51" s="785"/>
      <c r="J51" s="785"/>
      <c r="K51" s="785"/>
      <c r="L51" s="785"/>
      <c r="M51" s="810"/>
      <c r="N51" s="368"/>
      <c r="O51" s="368"/>
      <c r="P51" s="368"/>
      <c r="Q51" s="219"/>
      <c r="R51" s="217"/>
      <c r="S51" s="24"/>
      <c r="T51" s="218"/>
      <c r="U51" s="755" t="str">
        <f>INDEX(PT_DIFFERENTIATION_NUM_CS,MATCH(C51,PT_DIFFERENTIATION_CS_ID,0))</f>
        <v>..</v>
      </c>
      <c r="V51" s="188" t="s">
        <v>1464</v>
      </c>
      <c r="W51" s="179"/>
      <c r="X51" s="1331"/>
      <c r="Y51" s="1332"/>
      <c r="Z51" s="1332"/>
      <c r="AA51" s="1332"/>
      <c r="AB51" s="1332"/>
      <c r="AC51" s="1332"/>
      <c r="AD51" s="1332"/>
      <c r="AE51" s="1332"/>
      <c r="AF51" s="1333"/>
      <c r="AG51" s="1331" t="str">
        <f>INDEX(PT_DIFFERENTIATION_CS,MATCH(C51,PT_DIFFERENTIATION_CS_ID,0))</f>
        <v/>
      </c>
      <c r="AH51" s="1332"/>
      <c r="AI51" s="1332"/>
      <c r="AJ51" s="1332"/>
      <c r="AK51" s="1332"/>
      <c r="AL51" s="1332"/>
      <c r="AM51" s="1332"/>
      <c r="AN51" s="1332"/>
      <c r="AO51" s="1332"/>
      <c r="AP51" s="1333"/>
      <c r="AQ51" s="782" t="s">
        <v>1465</v>
      </c>
      <c r="AS51" s="79"/>
      <c r="AT51" s="79" t="str">
        <f t="shared" si="2"/>
        <v xml:space="preserve">Наименование системы теплоснабжения </v>
      </c>
      <c r="AU51" s="79"/>
      <c r="AV51" s="79"/>
    </row>
    <row r="52" spans="1:48" ht="21" customHeight="1">
      <c r="A52" s="785" t="s">
        <v>177</v>
      </c>
      <c r="B52" s="785" t="s">
        <v>178</v>
      </c>
      <c r="C52" s="785" t="s">
        <v>179</v>
      </c>
      <c r="D52" s="785" t="s">
        <v>180</v>
      </c>
      <c r="E52" s="1372"/>
      <c r="F52" s="1372"/>
      <c r="G52" s="1372"/>
      <c r="H52" s="1371">
        <v>1</v>
      </c>
      <c r="I52" s="785"/>
      <c r="J52" s="785"/>
      <c r="K52" s="785"/>
      <c r="L52" s="785"/>
      <c r="M52" s="810"/>
      <c r="N52" s="368"/>
      <c r="O52" s="368"/>
      <c r="P52" s="368"/>
      <c r="Q52" s="219"/>
      <c r="R52" s="217"/>
      <c r="S52" s="24"/>
      <c r="T52" s="218"/>
      <c r="U52" s="755" t="str">
        <f>INDEX(PT_DIFFERENTIATION_NUM_IST_TE,MATCH(D52,PT_DIFFERENTIATION_IST_TE_ID,0))</f>
        <v>...</v>
      </c>
      <c r="V52" s="189" t="s">
        <v>1466</v>
      </c>
      <c r="W52" s="179"/>
      <c r="X52" s="1331"/>
      <c r="Y52" s="1332"/>
      <c r="Z52" s="1332"/>
      <c r="AA52" s="1332"/>
      <c r="AB52" s="1332"/>
      <c r="AC52" s="1332"/>
      <c r="AD52" s="1332"/>
      <c r="AE52" s="1332"/>
      <c r="AF52" s="1333"/>
      <c r="AG52" s="1331" t="str">
        <f>INDEX(PT_DIFFERENTIATION_IST_TE,MATCH(D52,PT_DIFFERENTIATION_IST_TE_ID,0))</f>
        <v/>
      </c>
      <c r="AH52" s="1332"/>
      <c r="AI52" s="1332"/>
      <c r="AJ52" s="1332"/>
      <c r="AK52" s="1332"/>
      <c r="AL52" s="1332"/>
      <c r="AM52" s="1332"/>
      <c r="AN52" s="1332"/>
      <c r="AO52" s="1332"/>
      <c r="AP52" s="1333"/>
      <c r="AQ52" s="782" t="s">
        <v>1467</v>
      </c>
      <c r="AS52" s="79"/>
      <c r="AT52" s="79" t="str">
        <f t="shared" si="2"/>
        <v xml:space="preserve">Источник тепловой энергии  </v>
      </c>
      <c r="AU52" s="79"/>
      <c r="AV52" s="79"/>
    </row>
    <row r="53" spans="1:48" s="77" customFormat="1" ht="0" hidden="1" customHeight="1">
      <c r="A53" s="827" t="s">
        <v>177</v>
      </c>
      <c r="B53" s="827" t="s">
        <v>178</v>
      </c>
      <c r="C53" s="827" t="s">
        <v>179</v>
      </c>
      <c r="D53" s="827" t="s">
        <v>180</v>
      </c>
      <c r="E53" s="1372"/>
      <c r="F53" s="1372"/>
      <c r="G53" s="1372"/>
      <c r="H53" s="1372"/>
      <c r="I53" s="1123" t="str">
        <f>U52&amp;".1"</f>
        <v>....1</v>
      </c>
      <c r="J53" s="827"/>
      <c r="K53" s="827"/>
      <c r="L53" s="827"/>
      <c r="M53" s="828" t="s">
        <v>1468</v>
      </c>
      <c r="N53" s="768"/>
      <c r="O53" s="768"/>
      <c r="P53" s="768"/>
      <c r="Q53" s="1259">
        <v>1</v>
      </c>
      <c r="R53" s="127"/>
      <c r="S53" s="127"/>
      <c r="T53" s="221"/>
      <c r="U53" s="389"/>
      <c r="V53" s="831"/>
      <c r="W53" s="832"/>
      <c r="X53" s="1365"/>
      <c r="Y53" s="1366"/>
      <c r="Z53" s="1366"/>
      <c r="AA53" s="1366"/>
      <c r="AB53" s="1366"/>
      <c r="AC53" s="1366"/>
      <c r="AD53" s="1366"/>
      <c r="AE53" s="1366"/>
      <c r="AF53" s="1367"/>
      <c r="AG53" s="1365"/>
      <c r="AH53" s="1366"/>
      <c r="AI53" s="1366"/>
      <c r="AJ53" s="1366"/>
      <c r="AK53" s="1366"/>
      <c r="AL53" s="1366"/>
      <c r="AM53" s="1366"/>
      <c r="AN53" s="1366"/>
      <c r="AO53" s="1366"/>
      <c r="AP53" s="1367"/>
      <c r="AQ53" s="833"/>
      <c r="AS53" s="79"/>
      <c r="AT53" s="79" t="str">
        <f t="shared" si="2"/>
        <v/>
      </c>
      <c r="AU53" s="79"/>
      <c r="AV53" s="79"/>
    </row>
    <row r="54" spans="1:48" ht="21" customHeight="1">
      <c r="A54" s="785" t="s">
        <v>177</v>
      </c>
      <c r="B54" s="785" t="s">
        <v>178</v>
      </c>
      <c r="C54" s="785" t="s">
        <v>179</v>
      </c>
      <c r="D54" s="785" t="s">
        <v>180</v>
      </c>
      <c r="E54" s="1372"/>
      <c r="F54" s="1372"/>
      <c r="G54" s="1372"/>
      <c r="H54" s="1372"/>
      <c r="I54" s="1105"/>
      <c r="J54" s="1123" t="str">
        <f>I53&amp;".1"</f>
        <v>....1.1</v>
      </c>
      <c r="K54" s="785"/>
      <c r="L54" s="785"/>
      <c r="M54" s="810" t="s">
        <v>1471</v>
      </c>
      <c r="Q54" s="1259"/>
      <c r="R54" s="1259">
        <v>1</v>
      </c>
      <c r="S54" s="77"/>
      <c r="T54" s="222"/>
      <c r="U54" s="755" t="str">
        <f>$J54</f>
        <v>....1.1</v>
      </c>
      <c r="V54" s="173" t="s">
        <v>1472</v>
      </c>
      <c r="W54" s="179"/>
      <c r="X54" s="1326"/>
      <c r="Y54" s="1327"/>
      <c r="Z54" s="1327"/>
      <c r="AA54" s="1327"/>
      <c r="AB54" s="1327"/>
      <c r="AC54" s="1236"/>
      <c r="AD54" s="1236"/>
      <c r="AE54" s="1236"/>
      <c r="AF54" s="1373"/>
      <c r="AG54" s="1326"/>
      <c r="AH54" s="1327"/>
      <c r="AI54" s="1327"/>
      <c r="AJ54" s="1327"/>
      <c r="AK54" s="1327"/>
      <c r="AL54" s="1327"/>
      <c r="AM54" s="1327"/>
      <c r="AN54" s="1327"/>
      <c r="AO54" s="1327"/>
      <c r="AP54" s="1328"/>
      <c r="AQ54" s="782" t="s">
        <v>1473</v>
      </c>
      <c r="AS54" s="79"/>
      <c r="AT54" s="79" t="str">
        <f t="shared" si="2"/>
        <v>Группа потребителей</v>
      </c>
      <c r="AU54" s="79"/>
      <c r="AV54" s="79"/>
    </row>
    <row r="55" spans="1:48" ht="21" customHeight="1">
      <c r="A55" s="785" t="s">
        <v>177</v>
      </c>
      <c r="B55" s="785" t="s">
        <v>178</v>
      </c>
      <c r="C55" s="785" t="s">
        <v>179</v>
      </c>
      <c r="D55" s="785" t="s">
        <v>180</v>
      </c>
      <c r="E55" s="1372"/>
      <c r="F55" s="1372"/>
      <c r="G55" s="1372"/>
      <c r="H55" s="1372"/>
      <c r="I55" s="1105"/>
      <c r="J55" s="1105"/>
      <c r="K55" s="1123" t="str">
        <f>J54&amp;".1"</f>
        <v>....1.1.1</v>
      </c>
      <c r="L55" s="68"/>
      <c r="M55" s="810" t="s">
        <v>1474</v>
      </c>
      <c r="Q55" s="1259"/>
      <c r="R55" s="1259"/>
      <c r="S55" s="77">
        <v>1</v>
      </c>
      <c r="T55" s="222"/>
      <c r="U55" s="755" t="str">
        <f>$K55</f>
        <v>....1.1.1</v>
      </c>
      <c r="V55" s="821"/>
      <c r="W55" s="179"/>
      <c r="X55" s="1054"/>
      <c r="Y55" s="1054"/>
      <c r="Z55" s="1054"/>
      <c r="AA55" s="1054"/>
      <c r="AB55" s="1063"/>
      <c r="AC55" s="1341"/>
      <c r="AD55" s="1133" t="s">
        <v>67</v>
      </c>
      <c r="AE55" s="1341"/>
      <c r="AF55" s="1133" t="s">
        <v>67</v>
      </c>
      <c r="AG55" s="1064"/>
      <c r="AH55" s="1054"/>
      <c r="AI55" s="1054"/>
      <c r="AJ55" s="1054"/>
      <c r="AK55" s="1056"/>
      <c r="AL55" s="1341"/>
      <c r="AM55" s="1133" t="s">
        <v>67</v>
      </c>
      <c r="AN55" s="1341"/>
      <c r="AO55" s="1133" t="s">
        <v>67</v>
      </c>
      <c r="AP55" s="1060"/>
      <c r="AQ55" s="809" t="s">
        <v>1524</v>
      </c>
      <c r="AR55" s="77" t="e">
        <f ca="1">STRCHECKDATE(X57:AP57)</f>
        <v>#NAME?</v>
      </c>
      <c r="AS55" s="79"/>
      <c r="AT55" s="79" t="str">
        <f t="shared" si="2"/>
        <v/>
      </c>
      <c r="AU55" s="79"/>
      <c r="AV55" s="79"/>
    </row>
    <row r="56" spans="1:48" ht="11.25" customHeight="1">
      <c r="A56" s="785" t="s">
        <v>177</v>
      </c>
      <c r="B56" s="785" t="s">
        <v>178</v>
      </c>
      <c r="C56" s="785" t="s">
        <v>179</v>
      </c>
      <c r="D56" s="785" t="s">
        <v>180</v>
      </c>
      <c r="E56" s="1372"/>
      <c r="F56" s="1372"/>
      <c r="G56" s="1372"/>
      <c r="H56" s="1372"/>
      <c r="I56" s="1105"/>
      <c r="J56" s="1105"/>
      <c r="K56" s="1105"/>
      <c r="L56" s="1123" t="str">
        <f>K55&amp;".1"</f>
        <v>....1.1.1.1</v>
      </c>
      <c r="M56" s="810"/>
      <c r="Q56" s="1259"/>
      <c r="R56" s="1259"/>
      <c r="S56" s="77">
        <v>1</v>
      </c>
      <c r="T56" s="222"/>
      <c r="U56" s="755" t="str">
        <f>$L56</f>
        <v>....1.1.1.1</v>
      </c>
      <c r="V56" s="838"/>
      <c r="W56" s="179"/>
      <c r="X56" s="1055"/>
      <c r="Y56" s="1054"/>
      <c r="Z56" s="1054"/>
      <c r="AA56" s="1054"/>
      <c r="AB56" s="1063"/>
      <c r="AC56" s="1342"/>
      <c r="AD56" s="1133"/>
      <c r="AE56" s="1342"/>
      <c r="AF56" s="1133"/>
      <c r="AG56" s="1064"/>
      <c r="AH56" s="1054"/>
      <c r="AI56" s="1054"/>
      <c r="AJ56" s="1054"/>
      <c r="AK56" s="1056"/>
      <c r="AL56" s="1342"/>
      <c r="AM56" s="1133"/>
      <c r="AN56" s="1342"/>
      <c r="AO56" s="1133"/>
      <c r="AP56" s="1060"/>
      <c r="AQ56" s="1359" t="s">
        <v>1525</v>
      </c>
      <c r="AR56" s="77" t="e">
        <f ca="1">STRCHECKDATE(X58:AP58)</f>
        <v>#NAME?</v>
      </c>
      <c r="AS56" s="79"/>
      <c r="AT56" s="79" t="str">
        <f t="shared" si="2"/>
        <v/>
      </c>
      <c r="AU56" s="79"/>
      <c r="AV56" s="79"/>
    </row>
    <row r="57" spans="1:48" ht="0" hidden="1" customHeight="1">
      <c r="A57" s="785" t="s">
        <v>177</v>
      </c>
      <c r="B57" s="785" t="s">
        <v>178</v>
      </c>
      <c r="C57" s="785" t="s">
        <v>179</v>
      </c>
      <c r="D57" s="785" t="s">
        <v>180</v>
      </c>
      <c r="E57" s="1372"/>
      <c r="F57" s="1372"/>
      <c r="G57" s="1372"/>
      <c r="H57" s="1372"/>
      <c r="I57" s="1105"/>
      <c r="J57" s="1105"/>
      <c r="K57" s="1105"/>
      <c r="L57" s="1123"/>
      <c r="M57" s="810"/>
      <c r="Q57" s="1259"/>
      <c r="R57" s="1259"/>
      <c r="S57" s="77"/>
      <c r="T57" s="222"/>
      <c r="U57" s="74"/>
      <c r="V57" s="179"/>
      <c r="W57" s="179"/>
      <c r="X57" s="1055"/>
      <c r="Y57" s="1055"/>
      <c r="Z57" s="1055"/>
      <c r="AA57" s="1055"/>
      <c r="AB57" s="1065" t="str">
        <f>AC55&amp;"-"&amp;AE55</f>
        <v>-</v>
      </c>
      <c r="AC57" s="1342"/>
      <c r="AD57" s="1133"/>
      <c r="AE57" s="1342"/>
      <c r="AF57" s="1133"/>
      <c r="AG57" s="1066"/>
      <c r="AH57" s="1055"/>
      <c r="AI57" s="1055"/>
      <c r="AJ57" s="1055"/>
      <c r="AK57" s="1057" t="str">
        <f>AL55&amp;"-"&amp;AN55</f>
        <v>-</v>
      </c>
      <c r="AL57" s="1342"/>
      <c r="AM57" s="1133"/>
      <c r="AN57" s="1342"/>
      <c r="AO57" s="1133"/>
      <c r="AP57" s="1061"/>
      <c r="AQ57" s="1360"/>
      <c r="AS57" s="79"/>
      <c r="AT57" s="79" t="str">
        <f t="shared" si="2"/>
        <v/>
      </c>
      <c r="AU57" s="79"/>
      <c r="AV57" s="79"/>
    </row>
    <row r="58" spans="1:48" ht="11.25" customHeight="1">
      <c r="A58" s="785" t="s">
        <v>177</v>
      </c>
      <c r="B58" s="785" t="s">
        <v>178</v>
      </c>
      <c r="C58" s="785" t="s">
        <v>179</v>
      </c>
      <c r="D58" s="785" t="s">
        <v>180</v>
      </c>
      <c r="E58" s="1372"/>
      <c r="F58" s="1372"/>
      <c r="G58" s="1372"/>
      <c r="H58" s="1372"/>
      <c r="I58" s="1105"/>
      <c r="J58" s="1105"/>
      <c r="K58" s="1123"/>
      <c r="L58" s="785"/>
      <c r="M58" s="810"/>
      <c r="Q58" s="1259"/>
      <c r="R58" s="1259"/>
      <c r="S58" s="127"/>
      <c r="T58" s="221"/>
      <c r="U58" s="796"/>
      <c r="V58" s="175" t="s">
        <v>1526</v>
      </c>
      <c r="W58" s="228"/>
      <c r="X58" s="228"/>
      <c r="Y58" s="228"/>
      <c r="Z58" s="228"/>
      <c r="AA58" s="228"/>
      <c r="AB58" s="228"/>
      <c r="AC58" s="1342"/>
      <c r="AD58" s="1133"/>
      <c r="AE58" s="1342"/>
      <c r="AF58" s="1133"/>
      <c r="AG58" s="228"/>
      <c r="AH58" s="228"/>
      <c r="AI58" s="228"/>
      <c r="AJ58" s="228"/>
      <c r="AK58" s="228"/>
      <c r="AL58" s="1342"/>
      <c r="AM58" s="1133"/>
      <c r="AN58" s="1342"/>
      <c r="AO58" s="1133"/>
      <c r="AP58" s="204"/>
      <c r="AQ58" s="1360"/>
      <c r="AS58" s="79"/>
      <c r="AT58" s="79" t="str">
        <f t="shared" si="2"/>
        <v>Добавить наименование поставщика</v>
      </c>
      <c r="AU58" s="79"/>
      <c r="AV58" s="79"/>
    </row>
    <row r="59" spans="1:48" ht="11.25" customHeight="1">
      <c r="A59" s="785" t="s">
        <v>177</v>
      </c>
      <c r="B59" s="785" t="s">
        <v>178</v>
      </c>
      <c r="C59" s="785" t="s">
        <v>179</v>
      </c>
      <c r="D59" s="785" t="s">
        <v>180</v>
      </c>
      <c r="E59" s="1372"/>
      <c r="F59" s="1372"/>
      <c r="G59" s="1372"/>
      <c r="H59" s="1372"/>
      <c r="I59" s="1105"/>
      <c r="J59" s="1123"/>
      <c r="K59" s="785"/>
      <c r="L59" s="785"/>
      <c r="M59" s="810"/>
      <c r="Q59" s="1259"/>
      <c r="R59" s="1259"/>
      <c r="S59" s="127"/>
      <c r="T59" s="221"/>
      <c r="U59" s="796"/>
      <c r="V59" s="174" t="s">
        <v>1476</v>
      </c>
      <c r="W59" s="228"/>
      <c r="X59" s="228"/>
      <c r="Y59" s="228"/>
      <c r="Z59" s="228"/>
      <c r="AA59" s="228"/>
      <c r="AB59" s="228"/>
      <c r="AC59" s="844"/>
      <c r="AD59" s="844"/>
      <c r="AE59" s="844"/>
      <c r="AF59" s="844"/>
      <c r="AG59" s="228"/>
      <c r="AH59" s="228"/>
      <c r="AI59" s="228"/>
      <c r="AJ59" s="228"/>
      <c r="AK59" s="228"/>
      <c r="AL59" s="228"/>
      <c r="AM59" s="228"/>
      <c r="AN59" s="228"/>
      <c r="AO59" s="228"/>
      <c r="AP59" s="204"/>
      <c r="AQ59" s="1361"/>
      <c r="AS59" s="79"/>
      <c r="AT59" s="79" t="str">
        <f t="shared" si="2"/>
        <v>Добавить вид теплоносителя (параметры теплоносителя)</v>
      </c>
      <c r="AU59" s="79"/>
      <c r="AV59" s="79"/>
    </row>
    <row r="60" spans="1:48" ht="11.25" customHeight="1">
      <c r="A60" s="785" t="s">
        <v>177</v>
      </c>
      <c r="B60" s="785" t="s">
        <v>178</v>
      </c>
      <c r="C60" s="785" t="s">
        <v>179</v>
      </c>
      <c r="D60" s="785" t="s">
        <v>180</v>
      </c>
      <c r="E60" s="1372"/>
      <c r="F60" s="1372"/>
      <c r="G60" s="1372"/>
      <c r="H60" s="1372"/>
      <c r="I60" s="1123"/>
      <c r="J60" s="785"/>
      <c r="K60" s="785"/>
      <c r="L60" s="785"/>
      <c r="M60" s="810"/>
      <c r="Q60" s="1259"/>
      <c r="R60" s="127"/>
      <c r="S60" s="127"/>
      <c r="T60" s="221"/>
      <c r="U60" s="796"/>
      <c r="V60" s="226" t="s">
        <v>1477</v>
      </c>
      <c r="W60" s="228"/>
      <c r="X60" s="228"/>
      <c r="Y60" s="228"/>
      <c r="Z60" s="228"/>
      <c r="AA60" s="228"/>
      <c r="AB60" s="228"/>
      <c r="AC60" s="228"/>
      <c r="AD60" s="228"/>
      <c r="AE60" s="228"/>
      <c r="AF60" s="205"/>
      <c r="AG60" s="228"/>
      <c r="AH60" s="228"/>
      <c r="AI60" s="228"/>
      <c r="AJ60" s="228"/>
      <c r="AK60" s="228"/>
      <c r="AL60" s="228"/>
      <c r="AM60" s="228"/>
      <c r="AN60" s="228"/>
      <c r="AO60" s="205"/>
      <c r="AP60" s="228"/>
      <c r="AQ60" s="182"/>
      <c r="AS60" s="79"/>
      <c r="AT60" s="79" t="str">
        <f t="shared" si="2"/>
        <v>Добавить группу потребителей</v>
      </c>
      <c r="AU60" s="79"/>
      <c r="AV60" s="79"/>
    </row>
    <row r="61" spans="1:48" ht="0" hidden="1" customHeight="1">
      <c r="A61" s="785" t="s">
        <v>177</v>
      </c>
      <c r="B61" s="785" t="s">
        <v>178</v>
      </c>
      <c r="C61" s="785" t="s">
        <v>179</v>
      </c>
      <c r="D61" s="785" t="s">
        <v>180</v>
      </c>
      <c r="E61" s="1372"/>
      <c r="F61" s="1372"/>
      <c r="G61" s="1372"/>
      <c r="H61" s="1371"/>
      <c r="I61" s="785"/>
      <c r="J61" s="785"/>
      <c r="K61" s="785"/>
      <c r="L61" s="785"/>
      <c r="M61" s="810"/>
      <c r="N61" s="368"/>
      <c r="O61" s="368"/>
      <c r="P61" s="24"/>
      <c r="Q61" s="43"/>
      <c r="R61" s="231"/>
      <c r="S61" s="220"/>
      <c r="T61" s="43"/>
      <c r="U61" s="834"/>
      <c r="V61" s="835"/>
      <c r="W61" s="836"/>
      <c r="X61" s="836"/>
      <c r="Y61" s="836"/>
      <c r="Z61" s="836"/>
      <c r="AA61" s="836"/>
      <c r="AB61" s="836"/>
      <c r="AC61" s="836"/>
      <c r="AD61" s="836"/>
      <c r="AE61" s="836"/>
      <c r="AF61" s="836"/>
      <c r="AG61" s="836"/>
      <c r="AH61" s="836"/>
      <c r="AI61" s="836"/>
      <c r="AJ61" s="836"/>
      <c r="AK61" s="836"/>
      <c r="AL61" s="836"/>
      <c r="AM61" s="836"/>
      <c r="AN61" s="836"/>
      <c r="AO61" s="836"/>
      <c r="AP61" s="836"/>
      <c r="AQ61" s="837"/>
      <c r="AS61" s="79"/>
      <c r="AT61" s="79" t="str">
        <f t="shared" si="2"/>
        <v/>
      </c>
      <c r="AU61" s="79"/>
      <c r="AV61" s="79"/>
    </row>
    <row r="62" spans="1:48" s="77" customFormat="1" ht="0.75" customHeight="1">
      <c r="A62" s="827" t="s">
        <v>177</v>
      </c>
      <c r="B62" s="827" t="s">
        <v>178</v>
      </c>
      <c r="C62" s="827" t="s">
        <v>179</v>
      </c>
      <c r="D62" s="827"/>
      <c r="E62" s="1372"/>
      <c r="F62" s="1372"/>
      <c r="G62" s="1371"/>
      <c r="H62" s="827"/>
      <c r="I62" s="827"/>
      <c r="J62" s="827"/>
      <c r="K62" s="827"/>
      <c r="L62" s="827"/>
      <c r="M62" s="828"/>
      <c r="N62" s="829"/>
      <c r="O62" s="829"/>
      <c r="P62" s="216"/>
      <c r="Q62" s="111"/>
      <c r="R62" s="811"/>
      <c r="S62" s="111"/>
      <c r="T62" s="111"/>
      <c r="U62" s="816"/>
      <c r="V62" s="818" t="s">
        <v>1437</v>
      </c>
      <c r="W62" s="338"/>
      <c r="X62" s="338"/>
      <c r="Y62" s="338"/>
      <c r="Z62" s="338"/>
      <c r="AA62" s="338"/>
      <c r="AB62" s="338"/>
      <c r="AC62" s="338"/>
      <c r="AD62" s="338"/>
      <c r="AE62" s="338"/>
      <c r="AF62" s="338"/>
      <c r="AG62" s="338"/>
      <c r="AH62" s="338"/>
      <c r="AI62" s="338"/>
      <c r="AJ62" s="338"/>
      <c r="AK62" s="338"/>
      <c r="AL62" s="338"/>
      <c r="AM62" s="338"/>
      <c r="AN62" s="338"/>
      <c r="AO62" s="338"/>
      <c r="AP62" s="338"/>
      <c r="AQ62" s="338"/>
      <c r="AS62" s="79"/>
      <c r="AT62" s="79" t="str">
        <f t="shared" si="2"/>
        <v>Добавить источник для дифференциации</v>
      </c>
      <c r="AU62" s="79"/>
      <c r="AV62" s="79"/>
    </row>
    <row r="63" spans="1:48" s="77" customFormat="1" ht="0.75" customHeight="1">
      <c r="A63" s="827" t="s">
        <v>177</v>
      </c>
      <c r="B63" s="827" t="s">
        <v>178</v>
      </c>
      <c r="C63" s="827"/>
      <c r="D63" s="827"/>
      <c r="E63" s="1372"/>
      <c r="F63" s="1371"/>
      <c r="G63" s="827"/>
      <c r="H63" s="827"/>
      <c r="I63" s="827"/>
      <c r="J63" s="827"/>
      <c r="K63" s="827"/>
      <c r="L63" s="827"/>
      <c r="M63" s="828"/>
      <c r="N63" s="830"/>
      <c r="O63" s="830"/>
      <c r="P63" s="216"/>
      <c r="Q63" s="111"/>
      <c r="R63" s="811"/>
      <c r="S63" s="111"/>
      <c r="T63" s="111"/>
      <c r="U63" s="816"/>
      <c r="V63" s="818" t="s">
        <v>1438</v>
      </c>
      <c r="W63" s="338"/>
      <c r="X63" s="338"/>
      <c r="Y63" s="338"/>
      <c r="Z63" s="338"/>
      <c r="AA63" s="338"/>
      <c r="AB63" s="338"/>
      <c r="AC63" s="338"/>
      <c r="AD63" s="338"/>
      <c r="AE63" s="338"/>
      <c r="AF63" s="338"/>
      <c r="AG63" s="338"/>
      <c r="AH63" s="338"/>
      <c r="AI63" s="338"/>
      <c r="AJ63" s="338"/>
      <c r="AK63" s="338"/>
      <c r="AL63" s="338"/>
      <c r="AM63" s="338"/>
      <c r="AN63" s="338"/>
      <c r="AO63" s="338"/>
      <c r="AP63" s="338"/>
      <c r="AQ63" s="338"/>
      <c r="AS63" s="79"/>
      <c r="AT63" s="79" t="str">
        <f t="shared" si="2"/>
        <v>Добавить централизованную систему для дифференциации</v>
      </c>
      <c r="AU63" s="79"/>
      <c r="AV63" s="79"/>
    </row>
    <row r="64" spans="1:48" s="77" customFormat="1" ht="0.75" customHeight="1">
      <c r="A64" s="827" t="s">
        <v>177</v>
      </c>
      <c r="B64" s="827"/>
      <c r="C64" s="827"/>
      <c r="D64" s="827"/>
      <c r="E64" s="1371"/>
      <c r="F64" s="827"/>
      <c r="G64" s="827"/>
      <c r="H64" s="827"/>
      <c r="I64" s="827"/>
      <c r="J64" s="827"/>
      <c r="K64" s="827"/>
      <c r="L64" s="827"/>
      <c r="M64" s="828"/>
      <c r="N64" s="830"/>
      <c r="O64" s="830"/>
      <c r="P64" s="216"/>
      <c r="Q64" s="111"/>
      <c r="R64" s="811"/>
      <c r="S64" s="111"/>
      <c r="T64" s="111"/>
      <c r="U64" s="816"/>
      <c r="V64" s="818" t="s">
        <v>1439</v>
      </c>
      <c r="W64" s="338"/>
      <c r="X64" s="338"/>
      <c r="Y64" s="338"/>
      <c r="Z64" s="338"/>
      <c r="AA64" s="338"/>
      <c r="AB64" s="338"/>
      <c r="AC64" s="338"/>
      <c r="AD64" s="338"/>
      <c r="AE64" s="338"/>
      <c r="AF64" s="338"/>
      <c r="AG64" s="338"/>
      <c r="AH64" s="338"/>
      <c r="AI64" s="338"/>
      <c r="AJ64" s="338"/>
      <c r="AK64" s="338"/>
      <c r="AL64" s="338"/>
      <c r="AM64" s="338"/>
      <c r="AN64" s="338"/>
      <c r="AO64" s="338"/>
      <c r="AP64" s="338"/>
      <c r="AQ64" s="338"/>
      <c r="AS64" s="79"/>
      <c r="AT64" s="79" t="str">
        <f t="shared" si="2"/>
        <v>Добавить территорию для дифференциации</v>
      </c>
      <c r="AU64" s="79"/>
      <c r="AV64" s="79"/>
    </row>
    <row r="65" spans="1:48" s="77" customFormat="1" ht="0.75" customHeight="1">
      <c r="A65" s="827"/>
      <c r="B65" s="827"/>
      <c r="C65" s="827"/>
      <c r="D65" s="827"/>
      <c r="E65" s="827"/>
      <c r="F65" s="827"/>
      <c r="G65" s="827"/>
      <c r="H65" s="827"/>
      <c r="I65" s="827"/>
      <c r="J65" s="827"/>
      <c r="K65" s="827"/>
      <c r="L65" s="827"/>
      <c r="M65" s="828"/>
      <c r="N65" s="830"/>
      <c r="O65" s="830"/>
      <c r="P65" s="216"/>
      <c r="Q65" s="111"/>
      <c r="R65" s="811"/>
      <c r="S65" s="111"/>
      <c r="T65" s="111"/>
      <c r="U65" s="816"/>
      <c r="V65" s="818" t="s">
        <v>1440</v>
      </c>
      <c r="W65" s="338"/>
      <c r="X65" s="338"/>
      <c r="Y65" s="338"/>
      <c r="Z65" s="338"/>
      <c r="AA65" s="338"/>
      <c r="AB65" s="338"/>
      <c r="AC65" s="338"/>
      <c r="AD65" s="338"/>
      <c r="AE65" s="338"/>
      <c r="AF65" s="338"/>
      <c r="AG65" s="338"/>
      <c r="AH65" s="338"/>
      <c r="AI65" s="338"/>
      <c r="AJ65" s="338"/>
      <c r="AK65" s="338"/>
      <c r="AL65" s="338"/>
      <c r="AM65" s="338"/>
      <c r="AN65" s="338"/>
      <c r="AO65" s="338"/>
      <c r="AP65" s="338"/>
      <c r="AQ65" s="338"/>
      <c r="AS65" s="79"/>
      <c r="AT65" s="79" t="str">
        <f t="shared" si="2"/>
        <v>Добавить наименование тарифа</v>
      </c>
      <c r="AU65" s="79"/>
      <c r="AV65" s="79"/>
    </row>
    <row r="66" spans="1:48" ht="11.25" hidden="1" customHeight="1">
      <c r="N66" s="24"/>
      <c r="O66" s="24"/>
      <c r="P66" s="24"/>
      <c r="Q66" s="24"/>
      <c r="R66" s="24"/>
      <c r="S66" s="24"/>
      <c r="T66" s="24"/>
      <c r="U66" s="24"/>
      <c r="AR66" s="24"/>
      <c r="AS66" s="24"/>
      <c r="AT66" s="24"/>
      <c r="AU66" s="24"/>
      <c r="AV66" s="24"/>
    </row>
    <row r="67" spans="1:48" ht="33.75" hidden="1" customHeight="1">
      <c r="P67" s="24"/>
      <c r="U67" s="210" t="s">
        <v>1510</v>
      </c>
      <c r="V67" s="1336" t="s">
        <v>1520</v>
      </c>
      <c r="W67" s="1336"/>
      <c r="X67" s="1336"/>
      <c r="Y67" s="1336"/>
      <c r="Z67" s="1336"/>
      <c r="AA67" s="1336"/>
      <c r="AB67" s="1336"/>
      <c r="AC67" s="1336"/>
      <c r="AD67" s="1336"/>
      <c r="AE67" s="1336"/>
      <c r="AF67" s="1336"/>
      <c r="AG67" s="1336"/>
      <c r="AH67" s="1336"/>
      <c r="AI67" s="1336"/>
      <c r="AJ67" s="1336"/>
      <c r="AK67" s="1336"/>
      <c r="AL67" s="1336"/>
      <c r="AM67" s="1336"/>
      <c r="AN67" s="1336"/>
      <c r="AO67" s="1336"/>
      <c r="AP67" s="1336"/>
      <c r="AQ67" s="1336"/>
    </row>
    <row r="68" spans="1:48" ht="19.5" hidden="1" customHeight="1">
      <c r="P68" s="24"/>
      <c r="V68" s="1336" t="s">
        <v>1536</v>
      </c>
      <c r="W68" s="1336"/>
      <c r="X68" s="1336"/>
      <c r="Y68" s="1336"/>
      <c r="Z68" s="1336"/>
      <c r="AA68" s="1336"/>
      <c r="AB68" s="1336"/>
      <c r="AC68" s="1336"/>
      <c r="AD68" s="1336"/>
      <c r="AE68" s="1336"/>
      <c r="AF68" s="1336"/>
      <c r="AG68" s="1336"/>
      <c r="AH68" s="1336"/>
      <c r="AI68" s="1336"/>
      <c r="AJ68" s="1336"/>
      <c r="AK68" s="1336"/>
      <c r="AL68" s="1336"/>
      <c r="AM68" s="1336"/>
      <c r="AN68" s="1336"/>
      <c r="AO68" s="1336"/>
      <c r="AP68" s="1336"/>
      <c r="AQ68" s="1336"/>
    </row>
    <row r="69" spans="1:48" ht="14.25" hidden="1" customHeight="1">
      <c r="P69" s="24"/>
    </row>
    <row r="70" spans="1:48" ht="27" hidden="1" customHeight="1">
      <c r="P70" s="24"/>
      <c r="V70" s="1336" t="s">
        <v>1537</v>
      </c>
      <c r="W70" s="1336"/>
      <c r="X70" s="1336"/>
      <c r="Y70" s="1336"/>
      <c r="Z70" s="1336"/>
      <c r="AA70" s="1336"/>
      <c r="AB70" s="1336"/>
      <c r="AC70" s="1336"/>
      <c r="AD70" s="1336"/>
      <c r="AE70" s="1336"/>
      <c r="AF70" s="1336"/>
      <c r="AG70" s="1336"/>
      <c r="AH70" s="1336"/>
      <c r="AI70" s="1336"/>
      <c r="AJ70" s="1336"/>
      <c r="AK70" s="1336"/>
      <c r="AL70" s="1336"/>
      <c r="AM70" s="1336"/>
      <c r="AN70" s="1336"/>
      <c r="AO70" s="1336"/>
      <c r="AP70" s="1336"/>
      <c r="AQ70" s="1336"/>
    </row>
    <row r="71" spans="1:48" ht="18" hidden="1" customHeight="1">
      <c r="P71" s="24"/>
      <c r="V71" s="1336" t="s">
        <v>1536</v>
      </c>
      <c r="W71" s="1336"/>
      <c r="X71" s="1336"/>
      <c r="Y71" s="1336"/>
      <c r="Z71" s="1336"/>
      <c r="AA71" s="1336"/>
      <c r="AB71" s="1336"/>
      <c r="AC71" s="1336"/>
      <c r="AD71" s="1336"/>
      <c r="AE71" s="1336"/>
      <c r="AF71" s="1336"/>
      <c r="AG71" s="1336"/>
      <c r="AH71" s="1336"/>
      <c r="AI71" s="1336"/>
      <c r="AJ71" s="1336"/>
      <c r="AK71" s="1336"/>
      <c r="AL71" s="1336"/>
      <c r="AM71" s="1336"/>
      <c r="AN71" s="1336"/>
      <c r="AO71" s="1336"/>
      <c r="AP71" s="1336"/>
      <c r="AQ71" s="1336"/>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500-000000000000}">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500-000001000000}">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500-000002000000}">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500-000003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5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500-000005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500-000006000000}"/>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5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E388E9-3E69-DA32-BF95-C8F739FB2864}">
  <sheetPr>
    <tabColor theme="6" tint="0.39997558519241921"/>
  </sheetPr>
  <dimension ref="A1:AZ69"/>
  <sheetViews>
    <sheetView showGridLines="0" topLeftCell="R26" zoomScale="90" workbookViewId="0"/>
  </sheetViews>
  <sheetFormatPr defaultColWidth="10.5703125" defaultRowHeight="14.25" customHeight="1"/>
  <cols>
    <col min="1" max="1" width="10.5703125" style="72" hidden="1"/>
    <col min="2" max="2" width="11" style="72" hidden="1" customWidth="1"/>
    <col min="3" max="3" width="10.5703125" style="72" hidden="1"/>
    <col min="4" max="4" width="11.85546875" style="72" hidden="1" customWidth="1"/>
    <col min="5" max="5" width="10" style="72" hidden="1" customWidth="1"/>
    <col min="6" max="6" width="8.7109375" style="72" hidden="1" customWidth="1"/>
    <col min="7" max="7" width="7.5703125" style="72" hidden="1" customWidth="1"/>
    <col min="8" max="8" width="11.42578125" style="72" hidden="1" customWidth="1"/>
    <col min="9" max="9" width="12" style="72" hidden="1" customWidth="1"/>
    <col min="10" max="10" width="9.85546875" style="72" hidden="1" customWidth="1"/>
    <col min="11" max="11" width="11.42578125" style="72" hidden="1" customWidth="1"/>
    <col min="12" max="12" width="19.140625" style="388" hidden="1" customWidth="1"/>
    <col min="13" max="14" width="12.28515625" style="541" hidden="1" customWidth="1"/>
    <col min="15" max="15" width="23.42578125" style="541" hidden="1" customWidth="1"/>
    <col min="16" max="16" width="3.7109375" style="541" hidden="1" customWidth="1"/>
    <col min="17" max="17" width="3.7109375" style="825" hidden="1" customWidth="1"/>
    <col min="18" max="18" width="3.7109375" style="37" customWidth="1"/>
    <col min="19" max="19" width="12.7109375" style="368" customWidth="1"/>
    <col min="20" max="20" width="32" style="24" customWidth="1"/>
    <col min="21" max="21" width="0.140625" style="24" customWidth="1"/>
    <col min="22" max="23" width="21.7109375" style="24" hidden="1" customWidth="1"/>
    <col min="24" max="24" width="11.7109375" style="24" hidden="1" customWidth="1"/>
    <col min="25" max="25" width="3.7109375" style="24" hidden="1" customWidth="1"/>
    <col min="26" max="26" width="11.7109375" style="24" hidden="1" customWidth="1"/>
    <col min="27" max="27" width="8.5703125" style="24" hidden="1" customWidth="1"/>
    <col min="28" max="28" width="5.42578125" style="24" customWidth="1"/>
    <col min="29" max="30" width="3.7109375" style="24" customWidth="1"/>
    <col min="31" max="31" width="24.7109375" style="24" customWidth="1"/>
    <col min="32" max="34" width="3.7109375" style="24" customWidth="1"/>
    <col min="35" max="35" width="24.7109375" style="24" customWidth="1"/>
    <col min="36" max="38" width="3.7109375" style="24" customWidth="1"/>
    <col min="39" max="39" width="18.85546875" style="24" customWidth="1"/>
    <col min="40" max="41" width="21.7109375" style="24" customWidth="1"/>
    <col min="42" max="42" width="11.7109375" style="24" customWidth="1"/>
    <col min="43" max="43" width="3.7109375" style="24" customWidth="1"/>
    <col min="44" max="44" width="11.7109375" style="24" customWidth="1"/>
    <col min="45" max="45" width="8.5703125" style="24" customWidth="1"/>
    <col min="46" max="46" width="4.7109375" style="24" customWidth="1"/>
    <col min="47" max="47" width="115.7109375" style="24" customWidth="1"/>
    <col min="48" max="49" width="10.5703125" style="77"/>
    <col min="50" max="50" width="11.140625" style="77" customWidth="1"/>
    <col min="51" max="52" width="10.5703125" style="77"/>
  </cols>
  <sheetData>
    <row r="1" spans="1:52" ht="14.25" hidden="1" customHeight="1"/>
    <row r="2" spans="1:52" ht="21" hidden="1" customHeight="1">
      <c r="A2" s="822"/>
      <c r="B2" s="822"/>
      <c r="C2" s="822"/>
      <c r="D2" s="822"/>
      <c r="E2" s="1337">
        <v>1</v>
      </c>
      <c r="F2" s="822"/>
      <c r="G2" s="822"/>
      <c r="H2" s="822"/>
      <c r="I2" s="822"/>
      <c r="J2" s="822"/>
      <c r="K2" s="822"/>
      <c r="L2" s="823"/>
      <c r="M2" s="452"/>
      <c r="N2" s="452"/>
      <c r="O2" s="452"/>
      <c r="Q2" s="71"/>
      <c r="R2" s="220"/>
      <c r="S2" s="755" t="e">
        <f>INDEX(PT_DIFFERENTIATION_NUM_NTAR,MATCH(A2,PT_DIFFERENTIATION_NTAR_ID,0))</f>
        <v>#N/A</v>
      </c>
      <c r="T2" s="76" t="s">
        <v>124</v>
      </c>
      <c r="U2" s="179"/>
      <c r="V2" s="1332"/>
      <c r="W2" s="1332"/>
      <c r="X2" s="1332"/>
      <c r="Y2" s="1332"/>
      <c r="Z2" s="1332"/>
      <c r="AA2" s="1333"/>
      <c r="AB2" s="1331" t="e">
        <f>INDEX(PT_DIFFERENTIATION_NTAR,MATCH(A2,PT_DIFFERENTIATION_NTAR_ID,0))</f>
        <v>#N/A</v>
      </c>
      <c r="AC2" s="1332"/>
      <c r="AD2" s="1332"/>
      <c r="AE2" s="1332"/>
      <c r="AF2" s="1332"/>
      <c r="AG2" s="1332"/>
      <c r="AH2" s="1332"/>
      <c r="AI2" s="1332"/>
      <c r="AJ2" s="1332"/>
      <c r="AK2" s="1332"/>
      <c r="AL2" s="1332"/>
      <c r="AM2" s="1332"/>
      <c r="AN2" s="1332"/>
      <c r="AO2" s="1332"/>
      <c r="AP2" s="1332"/>
      <c r="AQ2" s="1332"/>
      <c r="AR2" s="1332"/>
      <c r="AS2" s="1332"/>
      <c r="AT2" s="1333"/>
      <c r="AU2" s="782" t="s">
        <v>1461</v>
      </c>
      <c r="AW2" s="79"/>
      <c r="AX2" s="79" t="str">
        <f t="shared" ref="AX2:AX8" si="0">IF(T2="","",T2)</f>
        <v>Наименование тарифа</v>
      </c>
      <c r="AY2" s="79"/>
      <c r="AZ2" s="79"/>
    </row>
    <row r="3" spans="1:52" ht="21" hidden="1" customHeight="1">
      <c r="A3" s="822"/>
      <c r="B3" s="822"/>
      <c r="C3" s="822"/>
      <c r="D3" s="822"/>
      <c r="E3" s="1338"/>
      <c r="F3" s="1337">
        <v>1</v>
      </c>
      <c r="G3" s="822"/>
      <c r="H3" s="822"/>
      <c r="I3" s="822"/>
      <c r="J3" s="822"/>
      <c r="K3" s="822"/>
      <c r="L3" s="823"/>
      <c r="M3" s="452"/>
      <c r="N3" s="452"/>
      <c r="O3" s="452"/>
      <c r="P3" s="388"/>
      <c r="Q3" s="845"/>
      <c r="R3" s="218"/>
      <c r="S3" s="755" t="e">
        <f>INDEX(PT_DIFFERENTIATION_NUM_TER,MATCH(B3,PT_DIFFERENTIATION_TER_ID,0))</f>
        <v>#N/A</v>
      </c>
      <c r="T3" s="187" t="s">
        <v>1462</v>
      </c>
      <c r="U3" s="179"/>
      <c r="V3" s="1332"/>
      <c r="W3" s="1332"/>
      <c r="X3" s="1332"/>
      <c r="Y3" s="1332"/>
      <c r="Z3" s="1332"/>
      <c r="AA3" s="1333"/>
      <c r="AB3" s="1331" t="e">
        <f>INDEX(PT_DIFFERENTIATION_TER,MATCH(B3,PT_DIFFERENTIATION_TER_ID,0))</f>
        <v>#N/A</v>
      </c>
      <c r="AC3" s="1332"/>
      <c r="AD3" s="1332"/>
      <c r="AE3" s="1332"/>
      <c r="AF3" s="1332"/>
      <c r="AG3" s="1332"/>
      <c r="AH3" s="1332"/>
      <c r="AI3" s="1332"/>
      <c r="AJ3" s="1332"/>
      <c r="AK3" s="1332"/>
      <c r="AL3" s="1332"/>
      <c r="AM3" s="1332"/>
      <c r="AN3" s="1332"/>
      <c r="AO3" s="1332"/>
      <c r="AP3" s="1332"/>
      <c r="AQ3" s="1332"/>
      <c r="AR3" s="1332"/>
      <c r="AS3" s="1332"/>
      <c r="AT3" s="1333"/>
      <c r="AU3" s="782" t="s">
        <v>1463</v>
      </c>
      <c r="AW3" s="79"/>
      <c r="AX3" s="79" t="str">
        <f t="shared" si="0"/>
        <v>Территория действия тарифа</v>
      </c>
      <c r="AY3" s="79"/>
      <c r="AZ3" s="79"/>
    </row>
    <row r="4" spans="1:52" ht="22.5" hidden="1" customHeight="1">
      <c r="A4" s="822"/>
      <c r="B4" s="822"/>
      <c r="C4" s="822"/>
      <c r="D4" s="822"/>
      <c r="E4" s="1338"/>
      <c r="F4" s="1338"/>
      <c r="G4" s="1337">
        <v>1</v>
      </c>
      <c r="H4" s="822"/>
      <c r="I4" s="822"/>
      <c r="J4" s="822"/>
      <c r="K4" s="822"/>
      <c r="L4" s="823"/>
      <c r="M4" s="452"/>
      <c r="N4" s="452"/>
      <c r="O4" s="452"/>
      <c r="P4" s="136"/>
      <c r="Q4" s="845"/>
      <c r="R4" s="218"/>
      <c r="S4" s="755" t="e">
        <f>INDEX(PT_DIFFERENTIATION_NUM_CS,MATCH(C4,PT_DIFFERENTIATION_CS_ID,0))</f>
        <v>#N/A</v>
      </c>
      <c r="T4" s="188" t="s">
        <v>1464</v>
      </c>
      <c r="U4" s="179"/>
      <c r="V4" s="1332"/>
      <c r="W4" s="1332"/>
      <c r="X4" s="1332"/>
      <c r="Y4" s="1332"/>
      <c r="Z4" s="1332"/>
      <c r="AA4" s="1333"/>
      <c r="AB4" s="1331" t="e">
        <f>INDEX(PT_DIFFERENTIATION_CS,MATCH(C4,PT_DIFFERENTIATION_CS_ID,0))</f>
        <v>#N/A</v>
      </c>
      <c r="AC4" s="1332"/>
      <c r="AD4" s="1332"/>
      <c r="AE4" s="1332"/>
      <c r="AF4" s="1332"/>
      <c r="AG4" s="1332"/>
      <c r="AH4" s="1332"/>
      <c r="AI4" s="1332"/>
      <c r="AJ4" s="1332"/>
      <c r="AK4" s="1332"/>
      <c r="AL4" s="1332"/>
      <c r="AM4" s="1332"/>
      <c r="AN4" s="1332"/>
      <c r="AO4" s="1332"/>
      <c r="AP4" s="1332"/>
      <c r="AQ4" s="1332"/>
      <c r="AR4" s="1332"/>
      <c r="AS4" s="1332"/>
      <c r="AT4" s="1333"/>
      <c r="AU4" s="782" t="s">
        <v>1465</v>
      </c>
      <c r="AW4" s="79"/>
      <c r="AX4" s="79" t="str">
        <f t="shared" si="0"/>
        <v xml:space="preserve">Наименование системы теплоснабжения </v>
      </c>
      <c r="AY4" s="79"/>
      <c r="AZ4" s="79"/>
    </row>
    <row r="5" spans="1:52" ht="21" hidden="1" customHeight="1">
      <c r="A5" s="822"/>
      <c r="B5" s="822"/>
      <c r="C5" s="822"/>
      <c r="D5" s="822"/>
      <c r="E5" s="1338"/>
      <c r="F5" s="1338"/>
      <c r="G5" s="1338"/>
      <c r="H5" s="1337">
        <v>1</v>
      </c>
      <c r="I5" s="822"/>
      <c r="J5" s="822"/>
      <c r="K5" s="822"/>
      <c r="L5" s="823"/>
      <c r="M5" s="452"/>
      <c r="N5" s="452"/>
      <c r="O5" s="452"/>
      <c r="P5" s="136"/>
      <c r="Q5" s="845"/>
      <c r="R5" s="218"/>
      <c r="S5" s="755" t="e">
        <f>INDEX(PT_DIFFERENTIATION_NUM_IST_TE,MATCH(D5,PT_DIFFERENTIATION_IST_TE_ID,0))</f>
        <v>#N/A</v>
      </c>
      <c r="T5" s="189" t="s">
        <v>1466</v>
      </c>
      <c r="U5" s="179"/>
      <c r="V5" s="1332"/>
      <c r="W5" s="1332"/>
      <c r="X5" s="1332"/>
      <c r="Y5" s="1332"/>
      <c r="Z5" s="1332"/>
      <c r="AA5" s="1333"/>
      <c r="AB5" s="1331" t="e">
        <f>INDEX(PT_DIFFERENTIATION_IST_TE,MATCH(D5,PT_DIFFERENTIATION_IST_TE_ID,0))</f>
        <v>#N/A</v>
      </c>
      <c r="AC5" s="1332"/>
      <c r="AD5" s="1332"/>
      <c r="AE5" s="1332"/>
      <c r="AF5" s="1332"/>
      <c r="AG5" s="1332"/>
      <c r="AH5" s="1332"/>
      <c r="AI5" s="1332"/>
      <c r="AJ5" s="1332"/>
      <c r="AK5" s="1332"/>
      <c r="AL5" s="1332"/>
      <c r="AM5" s="1332"/>
      <c r="AN5" s="1332"/>
      <c r="AO5" s="1332"/>
      <c r="AP5" s="1332"/>
      <c r="AQ5" s="1332"/>
      <c r="AR5" s="1332"/>
      <c r="AS5" s="1332"/>
      <c r="AT5" s="1333"/>
      <c r="AU5" s="782" t="s">
        <v>1467</v>
      </c>
      <c r="AW5" s="79"/>
      <c r="AX5" s="79" t="str">
        <f t="shared" si="0"/>
        <v xml:space="preserve">Источник тепловой энергии  </v>
      </c>
      <c r="AY5" s="79"/>
      <c r="AZ5" s="79"/>
    </row>
    <row r="6" spans="1:52" s="77" customFormat="1" ht="14.25" hidden="1" customHeight="1">
      <c r="A6" s="150"/>
      <c r="B6" s="150"/>
      <c r="C6" s="150"/>
      <c r="D6" s="150"/>
      <c r="E6" s="1338"/>
      <c r="F6" s="1338"/>
      <c r="G6" s="1338"/>
      <c r="H6" s="1338"/>
      <c r="I6" s="1339" t="e">
        <f>S5&amp;".1"</f>
        <v>#N/A</v>
      </c>
      <c r="J6" s="150"/>
      <c r="K6" s="150"/>
      <c r="L6" s="373" t="s">
        <v>1468</v>
      </c>
      <c r="M6" s="235"/>
      <c r="N6" s="235"/>
      <c r="O6" s="235"/>
      <c r="P6" s="1259">
        <v>1</v>
      </c>
      <c r="Q6" s="127"/>
      <c r="R6" s="221"/>
      <c r="S6" s="389"/>
      <c r="T6" s="831"/>
      <c r="U6" s="832"/>
      <c r="V6" s="1366"/>
      <c r="W6" s="1366"/>
      <c r="X6" s="1366"/>
      <c r="Y6" s="1366"/>
      <c r="Z6" s="1366"/>
      <c r="AA6" s="1367"/>
      <c r="AB6" s="1365"/>
      <c r="AC6" s="1366"/>
      <c r="AD6" s="1366"/>
      <c r="AE6" s="1366"/>
      <c r="AF6" s="1366"/>
      <c r="AG6" s="1366"/>
      <c r="AH6" s="1366"/>
      <c r="AI6" s="1366"/>
      <c r="AJ6" s="1366"/>
      <c r="AK6" s="1366"/>
      <c r="AL6" s="1366"/>
      <c r="AM6" s="1366"/>
      <c r="AN6" s="1366"/>
      <c r="AO6" s="1366"/>
      <c r="AP6" s="1366"/>
      <c r="AQ6" s="1366"/>
      <c r="AR6" s="1366"/>
      <c r="AS6" s="1366"/>
      <c r="AT6" s="1367"/>
      <c r="AU6" s="833"/>
      <c r="AW6" s="79"/>
      <c r="AX6" s="79" t="str">
        <f t="shared" si="0"/>
        <v/>
      </c>
      <c r="AY6" s="79"/>
      <c r="AZ6" s="79"/>
    </row>
    <row r="7" spans="1:52" s="77" customFormat="1" ht="14.25" hidden="1" customHeight="1">
      <c r="A7" s="150"/>
      <c r="B7" s="150"/>
      <c r="C7" s="150"/>
      <c r="D7" s="150"/>
      <c r="E7" s="1338"/>
      <c r="F7" s="1338"/>
      <c r="G7" s="1338"/>
      <c r="H7" s="1338"/>
      <c r="I7" s="1340"/>
      <c r="J7" s="1339" t="e">
        <f>S5&amp;".1"</f>
        <v>#N/A</v>
      </c>
      <c r="K7" s="150"/>
      <c r="L7" s="373"/>
      <c r="M7" s="235"/>
      <c r="N7" s="235"/>
      <c r="O7" s="235"/>
      <c r="P7" s="1259"/>
      <c r="Q7" s="1259">
        <v>1</v>
      </c>
      <c r="R7" s="222"/>
      <c r="S7" s="389"/>
      <c r="T7" s="840"/>
      <c r="U7" s="832"/>
      <c r="V7" s="1366"/>
      <c r="W7" s="1366"/>
      <c r="X7" s="1366"/>
      <c r="Y7" s="1366"/>
      <c r="Z7" s="1366"/>
      <c r="AA7" s="1367"/>
      <c r="AB7" s="1365"/>
      <c r="AC7" s="1366"/>
      <c r="AD7" s="1366"/>
      <c r="AE7" s="1366"/>
      <c r="AF7" s="1366"/>
      <c r="AG7" s="1366"/>
      <c r="AH7" s="1366"/>
      <c r="AI7" s="1366"/>
      <c r="AJ7" s="1366"/>
      <c r="AK7" s="1366"/>
      <c r="AL7" s="1366"/>
      <c r="AM7" s="1366"/>
      <c r="AN7" s="1366"/>
      <c r="AO7" s="1366"/>
      <c r="AP7" s="1366"/>
      <c r="AQ7" s="1366"/>
      <c r="AR7" s="1366"/>
      <c r="AS7" s="1366"/>
      <c r="AT7" s="1367"/>
      <c r="AU7" s="833"/>
      <c r="AW7" s="79"/>
      <c r="AX7" s="79" t="str">
        <f t="shared" si="0"/>
        <v/>
      </c>
      <c r="AY7" s="79"/>
      <c r="AZ7" s="79"/>
    </row>
    <row r="8" spans="1:52" ht="21" hidden="1" customHeight="1">
      <c r="A8" s="822"/>
      <c r="B8" s="822"/>
      <c r="C8" s="822"/>
      <c r="D8" s="822"/>
      <c r="E8" s="1338"/>
      <c r="F8" s="1338"/>
      <c r="G8" s="1338"/>
      <c r="H8" s="1338"/>
      <c r="I8" s="1340"/>
      <c r="J8" s="1340"/>
      <c r="K8" s="1339" t="e">
        <f>S5&amp;".1"</f>
        <v>#N/A</v>
      </c>
      <c r="L8" s="823"/>
      <c r="P8" s="1259"/>
      <c r="Q8" s="1259"/>
      <c r="R8" s="1391">
        <v>1</v>
      </c>
      <c r="S8" s="1388" t="e">
        <f>$K8</f>
        <v>#N/A</v>
      </c>
      <c r="T8" s="1385"/>
      <c r="U8" s="179"/>
      <c r="V8" s="1054"/>
      <c r="W8" s="1056"/>
      <c r="X8" s="1341"/>
      <c r="Y8" s="1133" t="s">
        <v>67</v>
      </c>
      <c r="Z8" s="1341"/>
      <c r="AA8" s="1133" t="s">
        <v>67</v>
      </c>
      <c r="AB8" s="1133" t="s">
        <v>57</v>
      </c>
      <c r="AC8" s="1384"/>
      <c r="AD8" s="1383">
        <v>1</v>
      </c>
      <c r="AE8" s="1392"/>
      <c r="AF8" s="1133" t="s">
        <v>57</v>
      </c>
      <c r="AG8" s="1384"/>
      <c r="AH8" s="1383">
        <v>1</v>
      </c>
      <c r="AI8" s="1392"/>
      <c r="AJ8" s="1133" t="s">
        <v>57</v>
      </c>
      <c r="AK8" s="190"/>
      <c r="AL8" s="820">
        <v>1</v>
      </c>
      <c r="AM8" s="660"/>
      <c r="AN8" s="1054"/>
      <c r="AO8" s="1056"/>
      <c r="AP8" s="990"/>
      <c r="AQ8" s="322" t="s">
        <v>67</v>
      </c>
      <c r="AR8" s="990"/>
      <c r="AS8" s="322" t="s">
        <v>67</v>
      </c>
      <c r="AT8" s="1060"/>
      <c r="AU8" s="1359" t="s">
        <v>1538</v>
      </c>
      <c r="AV8" s="77" t="e">
        <f ca="1">STRCHECKDATE(V11:AT11)</f>
        <v>#NAME?</v>
      </c>
      <c r="AW8" s="79"/>
      <c r="AX8" s="79" t="str">
        <f t="shared" si="0"/>
        <v/>
      </c>
      <c r="AY8" s="79"/>
      <c r="AZ8" s="79"/>
    </row>
    <row r="9" spans="1:52" ht="11.25" hidden="1" customHeight="1">
      <c r="A9" s="822"/>
      <c r="B9" s="822"/>
      <c r="C9" s="822"/>
      <c r="D9" s="822"/>
      <c r="E9" s="1338"/>
      <c r="F9" s="1338"/>
      <c r="G9" s="1338"/>
      <c r="H9" s="1338"/>
      <c r="I9" s="1340"/>
      <c r="J9" s="1340"/>
      <c r="K9" s="1339"/>
      <c r="L9" s="823"/>
      <c r="P9" s="1259"/>
      <c r="Q9" s="1259"/>
      <c r="R9" s="1391"/>
      <c r="S9" s="1389"/>
      <c r="T9" s="1386"/>
      <c r="U9" s="179"/>
      <c r="V9" s="1067"/>
      <c r="W9" s="1070"/>
      <c r="X9" s="1341"/>
      <c r="Y9" s="1133"/>
      <c r="Z9" s="1341"/>
      <c r="AA9" s="1133"/>
      <c r="AB9" s="1133"/>
      <c r="AC9" s="1384"/>
      <c r="AD9" s="1383"/>
      <c r="AE9" s="1392"/>
      <c r="AF9" s="1133"/>
      <c r="AG9" s="1384"/>
      <c r="AH9" s="1383"/>
      <c r="AI9" s="1392"/>
      <c r="AJ9" s="1133"/>
      <c r="AK9" s="195"/>
      <c r="AL9" s="62"/>
      <c r="AM9" s="116" t="s">
        <v>1539</v>
      </c>
      <c r="AN9" s="1067"/>
      <c r="AO9" s="1071"/>
      <c r="AP9" s="1067"/>
      <c r="AQ9" s="1067"/>
      <c r="AR9" s="1067"/>
      <c r="AS9" s="1067"/>
      <c r="AT9" s="1072"/>
      <c r="AU9" s="1360"/>
      <c r="AW9" s="79"/>
      <c r="AX9" s="79"/>
      <c r="AY9" s="79"/>
      <c r="AZ9" s="79"/>
    </row>
    <row r="10" spans="1:52" ht="11.25" hidden="1" customHeight="1">
      <c r="A10" s="822"/>
      <c r="B10" s="822"/>
      <c r="C10" s="822"/>
      <c r="D10" s="822"/>
      <c r="E10" s="1338"/>
      <c r="F10" s="1338"/>
      <c r="G10" s="1338"/>
      <c r="H10" s="1338"/>
      <c r="I10" s="1340"/>
      <c r="J10" s="1340"/>
      <c r="K10" s="1339"/>
      <c r="L10" s="823"/>
      <c r="P10" s="1259"/>
      <c r="Q10" s="1259"/>
      <c r="R10" s="1391"/>
      <c r="S10" s="1389"/>
      <c r="T10" s="1386"/>
      <c r="U10" s="179"/>
      <c r="V10" s="1067"/>
      <c r="W10" s="1070"/>
      <c r="X10" s="1341"/>
      <c r="Y10" s="1133"/>
      <c r="Z10" s="1341"/>
      <c r="AA10" s="1133"/>
      <c r="AB10" s="1133"/>
      <c r="AC10" s="1384"/>
      <c r="AD10" s="1383"/>
      <c r="AE10" s="1392"/>
      <c r="AF10" s="1133"/>
      <c r="AG10" s="177"/>
      <c r="AH10" s="116"/>
      <c r="AI10" s="116" t="s">
        <v>1540</v>
      </c>
      <c r="AJ10" s="1067"/>
      <c r="AK10" s="1067"/>
      <c r="AL10" s="1067"/>
      <c r="AM10" s="1067"/>
      <c r="AN10" s="1067"/>
      <c r="AO10" s="1071"/>
      <c r="AP10" s="1067"/>
      <c r="AQ10" s="1067"/>
      <c r="AR10" s="1067"/>
      <c r="AS10" s="1067"/>
      <c r="AT10" s="1072"/>
      <c r="AU10" s="1360"/>
      <c r="AW10" s="79"/>
      <c r="AX10" s="79"/>
      <c r="AY10" s="79"/>
      <c r="AZ10" s="79"/>
    </row>
    <row r="11" spans="1:52" ht="11.25" hidden="1" customHeight="1">
      <c r="A11" s="822"/>
      <c r="B11" s="822"/>
      <c r="C11" s="822"/>
      <c r="D11" s="822"/>
      <c r="E11" s="1338"/>
      <c r="F11" s="1338"/>
      <c r="G11" s="1338"/>
      <c r="H11" s="1338"/>
      <c r="I11" s="1340"/>
      <c r="J11" s="1340"/>
      <c r="K11" s="1339"/>
      <c r="L11" s="823"/>
      <c r="P11" s="1259"/>
      <c r="Q11" s="1259"/>
      <c r="R11" s="1391"/>
      <c r="S11" s="1390"/>
      <c r="T11" s="1387"/>
      <c r="U11" s="179"/>
      <c r="V11" s="1067"/>
      <c r="W11" s="1073" t="str">
        <f>X8&amp;"-"&amp;Z8</f>
        <v>-</v>
      </c>
      <c r="X11" s="1342"/>
      <c r="Y11" s="1133"/>
      <c r="Z11" s="1342"/>
      <c r="AA11" s="1133"/>
      <c r="AB11" s="1133"/>
      <c r="AC11" s="191"/>
      <c r="AD11" s="193"/>
      <c r="AE11" s="116" t="s">
        <v>1541</v>
      </c>
      <c r="AF11" s="1067"/>
      <c r="AG11" s="1067"/>
      <c r="AH11" s="1067"/>
      <c r="AI11" s="1067"/>
      <c r="AJ11" s="1067"/>
      <c r="AK11" s="1067"/>
      <c r="AL11" s="1067"/>
      <c r="AM11" s="1067"/>
      <c r="AN11" s="1067"/>
      <c r="AO11" s="1068" t="str">
        <f>AP8&amp;"-"&amp;AR8</f>
        <v>-</v>
      </c>
      <c r="AP11" s="1067"/>
      <c r="AQ11" s="1067"/>
      <c r="AR11" s="1067"/>
      <c r="AS11" s="1067"/>
      <c r="AT11" s="1061"/>
      <c r="AU11" s="1360"/>
      <c r="AW11" s="79"/>
      <c r="AX11" s="79" t="str">
        <f t="shared" ref="AX11:AX17" si="1">IF(T11="","",T11)</f>
        <v/>
      </c>
      <c r="AY11" s="79"/>
      <c r="AZ11" s="79"/>
    </row>
    <row r="12" spans="1:52" ht="11.25" hidden="1" customHeight="1">
      <c r="A12" s="822"/>
      <c r="B12" s="822"/>
      <c r="C12" s="822"/>
      <c r="D12" s="822"/>
      <c r="E12" s="1338"/>
      <c r="F12" s="1338"/>
      <c r="G12" s="1338"/>
      <c r="H12" s="1338"/>
      <c r="I12" s="1340"/>
      <c r="J12" s="1339"/>
      <c r="K12" s="822"/>
      <c r="L12" s="823"/>
      <c r="P12" s="1259"/>
      <c r="Q12" s="1259"/>
      <c r="R12" s="221"/>
      <c r="S12" s="796"/>
      <c r="T12" s="174" t="s">
        <v>1542</v>
      </c>
      <c r="U12" s="228"/>
      <c r="V12" s="228"/>
      <c r="W12" s="228"/>
      <c r="X12" s="228"/>
      <c r="Y12" s="228"/>
      <c r="Z12" s="228"/>
      <c r="AA12" s="228"/>
      <c r="AB12" s="228"/>
      <c r="AC12" s="228"/>
      <c r="AD12" s="228"/>
      <c r="AE12" s="228"/>
      <c r="AF12" s="228"/>
      <c r="AG12" s="228"/>
      <c r="AH12" s="228"/>
      <c r="AI12" s="228"/>
      <c r="AJ12" s="228"/>
      <c r="AK12" s="228"/>
      <c r="AL12" s="228"/>
      <c r="AM12" s="228"/>
      <c r="AN12" s="228"/>
      <c r="AO12" s="228"/>
      <c r="AP12" s="228"/>
      <c r="AQ12" s="228"/>
      <c r="AR12" s="228"/>
      <c r="AS12" s="228"/>
      <c r="AT12" s="204"/>
      <c r="AU12" s="1361"/>
      <c r="AW12" s="79"/>
      <c r="AX12" s="79" t="str">
        <f t="shared" si="1"/>
        <v>Добавить строку</v>
      </c>
      <c r="AY12" s="79"/>
      <c r="AZ12" s="79"/>
    </row>
    <row r="13" spans="1:52" s="77" customFormat="1" ht="14.25" hidden="1" customHeight="1">
      <c r="A13" s="150"/>
      <c r="B13" s="150"/>
      <c r="C13" s="150"/>
      <c r="D13" s="150"/>
      <c r="E13" s="1338"/>
      <c r="F13" s="1338"/>
      <c r="G13" s="1338"/>
      <c r="H13" s="1338"/>
      <c r="I13" s="1339"/>
      <c r="J13" s="150"/>
      <c r="K13" s="150"/>
      <c r="L13" s="373"/>
      <c r="M13" s="235"/>
      <c r="N13" s="235"/>
      <c r="O13" s="235"/>
      <c r="P13" s="1259"/>
      <c r="Q13" s="127"/>
      <c r="R13" s="221"/>
      <c r="S13" s="834"/>
      <c r="T13" s="835"/>
      <c r="U13" s="836"/>
      <c r="V13" s="836"/>
      <c r="W13" s="836"/>
      <c r="X13" s="836"/>
      <c r="Y13" s="836"/>
      <c r="Z13" s="836"/>
      <c r="AA13" s="836"/>
      <c r="AB13" s="836"/>
      <c r="AC13" s="836"/>
      <c r="AD13" s="836"/>
      <c r="AE13" s="836"/>
      <c r="AF13" s="836"/>
      <c r="AG13" s="836"/>
      <c r="AH13" s="836"/>
      <c r="AI13" s="836"/>
      <c r="AJ13" s="836"/>
      <c r="AK13" s="836"/>
      <c r="AL13" s="836"/>
      <c r="AM13" s="836"/>
      <c r="AN13" s="836"/>
      <c r="AO13" s="836"/>
      <c r="AP13" s="836"/>
      <c r="AQ13" s="836"/>
      <c r="AR13" s="836"/>
      <c r="AS13" s="836"/>
      <c r="AT13" s="836"/>
      <c r="AU13" s="837"/>
      <c r="AW13" s="79"/>
      <c r="AX13" s="79" t="str">
        <f t="shared" si="1"/>
        <v/>
      </c>
      <c r="AY13" s="79"/>
      <c r="AZ13" s="79"/>
    </row>
    <row r="14" spans="1:52" s="77" customFormat="1" ht="14.25" hidden="1" customHeight="1">
      <c r="A14" s="150"/>
      <c r="B14" s="150"/>
      <c r="C14" s="150"/>
      <c r="D14" s="150"/>
      <c r="E14" s="1338"/>
      <c r="F14" s="1338"/>
      <c r="G14" s="1338"/>
      <c r="H14" s="1337"/>
      <c r="I14" s="150"/>
      <c r="J14" s="150"/>
      <c r="K14" s="150"/>
      <c r="L14" s="373"/>
      <c r="M14" s="318"/>
      <c r="N14" s="318"/>
      <c r="P14" s="111"/>
      <c r="Q14" s="811"/>
      <c r="R14" s="842"/>
      <c r="S14" s="834"/>
      <c r="T14" s="835"/>
      <c r="U14" s="836"/>
      <c r="V14" s="836"/>
      <c r="W14" s="836"/>
      <c r="X14" s="836"/>
      <c r="Y14" s="836"/>
      <c r="Z14" s="836"/>
      <c r="AA14" s="836"/>
      <c r="AB14" s="836"/>
      <c r="AC14" s="836"/>
      <c r="AD14" s="836"/>
      <c r="AE14" s="836"/>
      <c r="AF14" s="836"/>
      <c r="AG14" s="836"/>
      <c r="AH14" s="836"/>
      <c r="AI14" s="836"/>
      <c r="AJ14" s="836"/>
      <c r="AK14" s="836"/>
      <c r="AL14" s="836"/>
      <c r="AM14" s="836"/>
      <c r="AN14" s="836"/>
      <c r="AO14" s="836"/>
      <c r="AP14" s="836"/>
      <c r="AQ14" s="836"/>
      <c r="AR14" s="836"/>
      <c r="AS14" s="836"/>
      <c r="AT14" s="836"/>
      <c r="AU14" s="837"/>
      <c r="AW14" s="79"/>
      <c r="AX14" s="79" t="str">
        <f t="shared" si="1"/>
        <v/>
      </c>
      <c r="AY14" s="79"/>
      <c r="AZ14" s="79"/>
    </row>
    <row r="15" spans="1:52" s="77" customFormat="1" ht="14.25" hidden="1" customHeight="1">
      <c r="A15" s="150"/>
      <c r="B15" s="150"/>
      <c r="C15" s="150"/>
      <c r="D15" s="150"/>
      <c r="E15" s="1338"/>
      <c r="F15" s="1338"/>
      <c r="G15" s="1337"/>
      <c r="H15" s="150"/>
      <c r="I15" s="150"/>
      <c r="J15" s="150"/>
      <c r="K15" s="150"/>
      <c r="L15" s="373"/>
      <c r="M15" s="318"/>
      <c r="N15" s="318"/>
      <c r="P15" s="111"/>
      <c r="Q15" s="811"/>
      <c r="R15" s="111"/>
      <c r="S15" s="816"/>
      <c r="T15" s="818" t="s">
        <v>1437</v>
      </c>
      <c r="U15" s="338"/>
      <c r="V15" s="338"/>
      <c r="W15" s="338"/>
      <c r="X15" s="338"/>
      <c r="Y15" s="338"/>
      <c r="Z15" s="338"/>
      <c r="AA15" s="338"/>
      <c r="AB15" s="338"/>
      <c r="AC15" s="338"/>
      <c r="AD15" s="338"/>
      <c r="AE15" s="338"/>
      <c r="AF15" s="338"/>
      <c r="AG15" s="338"/>
      <c r="AH15" s="338"/>
      <c r="AI15" s="338"/>
      <c r="AJ15" s="338"/>
      <c r="AK15" s="338"/>
      <c r="AL15" s="338"/>
      <c r="AM15" s="338"/>
      <c r="AN15" s="338"/>
      <c r="AO15" s="338"/>
      <c r="AP15" s="338"/>
      <c r="AQ15" s="338"/>
      <c r="AR15" s="338"/>
      <c r="AS15" s="338"/>
      <c r="AT15" s="338"/>
      <c r="AU15" s="338"/>
      <c r="AW15" s="79"/>
      <c r="AX15" s="79" t="str">
        <f t="shared" si="1"/>
        <v>Добавить источник для дифференциации</v>
      </c>
      <c r="AY15" s="79"/>
      <c r="AZ15" s="79"/>
    </row>
    <row r="16" spans="1:52" s="77" customFormat="1" ht="14.25" hidden="1" customHeight="1">
      <c r="A16" s="150"/>
      <c r="B16" s="150"/>
      <c r="C16" s="150"/>
      <c r="D16" s="150"/>
      <c r="E16" s="1338"/>
      <c r="F16" s="1337"/>
      <c r="G16" s="150"/>
      <c r="H16" s="150"/>
      <c r="I16" s="150"/>
      <c r="J16" s="150"/>
      <c r="K16" s="150"/>
      <c r="L16" s="373"/>
      <c r="M16" s="815"/>
      <c r="N16" s="815"/>
      <c r="P16" s="111"/>
      <c r="Q16" s="811"/>
      <c r="R16" s="111"/>
      <c r="S16" s="816"/>
      <c r="T16" s="818" t="s">
        <v>1438</v>
      </c>
      <c r="U16" s="338"/>
      <c r="V16" s="338"/>
      <c r="W16" s="338"/>
      <c r="X16" s="338"/>
      <c r="Y16" s="338"/>
      <c r="Z16" s="338"/>
      <c r="AA16" s="338"/>
      <c r="AB16" s="338"/>
      <c r="AC16" s="338"/>
      <c r="AD16" s="338"/>
      <c r="AE16" s="338"/>
      <c r="AF16" s="338"/>
      <c r="AG16" s="338"/>
      <c r="AH16" s="338"/>
      <c r="AI16" s="338"/>
      <c r="AJ16" s="338"/>
      <c r="AK16" s="338"/>
      <c r="AL16" s="338"/>
      <c r="AM16" s="338"/>
      <c r="AN16" s="338"/>
      <c r="AO16" s="338"/>
      <c r="AP16" s="338"/>
      <c r="AQ16" s="338"/>
      <c r="AR16" s="338"/>
      <c r="AS16" s="338"/>
      <c r="AT16" s="338"/>
      <c r="AU16" s="338"/>
      <c r="AW16" s="79"/>
      <c r="AX16" s="79" t="str">
        <f t="shared" si="1"/>
        <v>Добавить централизованную систему для дифференциации</v>
      </c>
      <c r="AY16" s="79"/>
      <c r="AZ16" s="79"/>
    </row>
    <row r="17" spans="1:52" s="77" customFormat="1" ht="14.25" hidden="1" customHeight="1">
      <c r="A17" s="150"/>
      <c r="B17" s="150"/>
      <c r="C17" s="150"/>
      <c r="D17" s="150"/>
      <c r="E17" s="1337"/>
      <c r="F17" s="150"/>
      <c r="G17" s="150"/>
      <c r="H17" s="150"/>
      <c r="I17" s="150"/>
      <c r="J17" s="150"/>
      <c r="K17" s="150"/>
      <c r="L17" s="373"/>
      <c r="M17" s="815"/>
      <c r="N17" s="815"/>
      <c r="P17" s="111"/>
      <c r="Q17" s="811"/>
      <c r="R17" s="111"/>
      <c r="S17" s="816"/>
      <c r="T17" s="818" t="s">
        <v>1439</v>
      </c>
      <c r="U17" s="338"/>
      <c r="V17" s="338"/>
      <c r="W17" s="338"/>
      <c r="X17" s="338"/>
      <c r="Y17" s="338"/>
      <c r="Z17" s="338"/>
      <c r="AA17" s="338"/>
      <c r="AB17" s="338"/>
      <c r="AC17" s="338"/>
      <c r="AD17" s="338"/>
      <c r="AE17" s="338"/>
      <c r="AF17" s="338"/>
      <c r="AG17" s="338"/>
      <c r="AH17" s="338"/>
      <c r="AI17" s="338"/>
      <c r="AJ17" s="338"/>
      <c r="AK17" s="338"/>
      <c r="AL17" s="338"/>
      <c r="AM17" s="338"/>
      <c r="AN17" s="338"/>
      <c r="AO17" s="338"/>
      <c r="AP17" s="338"/>
      <c r="AQ17" s="338"/>
      <c r="AR17" s="338"/>
      <c r="AS17" s="338"/>
      <c r="AT17" s="338"/>
      <c r="AU17" s="338"/>
      <c r="AW17" s="79"/>
      <c r="AX17" s="79" t="str">
        <f t="shared" si="1"/>
        <v>Добавить территорию для дифференциации</v>
      </c>
      <c r="AY17" s="79"/>
      <c r="AZ17" s="79"/>
    </row>
    <row r="18" spans="1:52" ht="14.25" hidden="1" customHeight="1"/>
    <row r="19" spans="1:52" ht="14.25" hidden="1" customHeight="1">
      <c r="AB19" s="338" t="s">
        <v>57</v>
      </c>
      <c r="AC19" s="862"/>
      <c r="AD19" s="338">
        <v>1</v>
      </c>
      <c r="AE19" s="863"/>
      <c r="AF19" s="338" t="s">
        <v>57</v>
      </c>
      <c r="AG19" s="862"/>
      <c r="AH19" s="338">
        <v>1</v>
      </c>
      <c r="AI19" s="863"/>
      <c r="AJ19" s="338" t="s">
        <v>57</v>
      </c>
      <c r="AK19" s="864"/>
      <c r="AL19" s="338">
        <v>1</v>
      </c>
      <c r="AM19" s="866"/>
      <c r="AN19" s="1074"/>
      <c r="AO19" s="1075"/>
      <c r="AP19" s="992"/>
      <c r="AQ19" s="843" t="s">
        <v>67</v>
      </c>
      <c r="AR19" s="992"/>
      <c r="AS19" s="843" t="s">
        <v>67</v>
      </c>
    </row>
    <row r="20" spans="1:52" ht="14.25" hidden="1" customHeight="1">
      <c r="AV20" s="216"/>
      <c r="AW20" s="216"/>
      <c r="AX20" s="216"/>
      <c r="AY20" s="216"/>
      <c r="AZ20" s="216"/>
    </row>
    <row r="21" spans="1:52" ht="14.25" hidden="1" customHeight="1">
      <c r="O21" s="824" t="s">
        <v>1479</v>
      </c>
      <c r="X21" s="194"/>
      <c r="Z21" s="194"/>
      <c r="AP21" s="194"/>
      <c r="AR21" s="194"/>
      <c r="AV21" s="216"/>
      <c r="AW21" s="216"/>
      <c r="AX21" s="216"/>
      <c r="AY21" s="216"/>
      <c r="AZ21" s="216"/>
    </row>
    <row r="22" spans="1:52" ht="14.25" hidden="1" customHeight="1">
      <c r="AV22" s="216"/>
      <c r="AW22" s="216"/>
      <c r="AX22" s="216"/>
      <c r="AY22" s="216"/>
      <c r="AZ22" s="216"/>
    </row>
    <row r="23" spans="1:52" s="867" customFormat="1" ht="14.25" hidden="1" customHeight="1">
      <c r="M23" s="868"/>
      <c r="N23" s="868"/>
      <c r="O23" s="867" t="s">
        <v>1480</v>
      </c>
      <c r="P23" s="868"/>
      <c r="Q23" s="869"/>
      <c r="R23" s="869"/>
      <c r="Y23" s="867" t="s">
        <v>1482</v>
      </c>
      <c r="AA23" s="867" t="s">
        <v>1483</v>
      </c>
      <c r="AB23" s="867" t="s">
        <v>1543</v>
      </c>
      <c r="AE23" s="867" t="s">
        <v>1544</v>
      </c>
      <c r="AF23" s="867" t="s">
        <v>1543</v>
      </c>
      <c r="AI23" s="867" t="s">
        <v>1545</v>
      </c>
      <c r="AJ23" s="867" t="s">
        <v>1543</v>
      </c>
      <c r="AM23" s="867" t="s">
        <v>1546</v>
      </c>
      <c r="AQ23" s="867" t="s">
        <v>1482</v>
      </c>
      <c r="AS23" s="867" t="s">
        <v>1483</v>
      </c>
      <c r="AV23" s="870"/>
      <c r="AW23" s="870"/>
      <c r="AX23" s="870"/>
      <c r="AY23" s="870"/>
      <c r="AZ23" s="870"/>
    </row>
    <row r="24" spans="1:52" ht="14.25" hidden="1" customHeight="1">
      <c r="O24" s="823"/>
      <c r="AV24" s="216"/>
      <c r="AW24" s="216"/>
      <c r="AX24" s="216"/>
      <c r="AY24" s="216"/>
      <c r="AZ24" s="216"/>
    </row>
    <row r="25" spans="1:52" ht="14.25" hidden="1" customHeight="1">
      <c r="O25" s="823"/>
      <c r="AV25" s="216"/>
      <c r="AW25" s="216"/>
      <c r="AX25" s="216"/>
      <c r="AY25" s="216"/>
      <c r="AZ25" s="216"/>
    </row>
    <row r="26" spans="1:52" ht="14.25" customHeight="1">
      <c r="Q26" s="176"/>
      <c r="R26" s="36"/>
      <c r="S26" s="793"/>
      <c r="T26" s="25"/>
      <c r="U26" s="25"/>
    </row>
    <row r="27" spans="1:52" ht="33.75" customHeight="1">
      <c r="Q27" s="176"/>
      <c r="R27" s="36"/>
      <c r="S27" s="1181" t="str">
        <f>IF(TEMPLATE_GROUP="P",PT_P_FORM_HEAT_7_NAME_FORM,PT_R_FORM_HEAT_24_NAME_FORM)</f>
        <v xml:space="preserve">Форма 24. Информация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23.4 Федерального закона "О теплоснабжении" </v>
      </c>
      <c r="T27" s="1181"/>
      <c r="U27" s="1181"/>
      <c r="V27" s="1181"/>
      <c r="W27" s="1181"/>
      <c r="X27" s="1181"/>
      <c r="Y27" s="1181"/>
      <c r="Z27" s="1181"/>
      <c r="AA27" s="1181"/>
      <c r="AB27" s="1181"/>
      <c r="AC27" s="1181"/>
      <c r="AD27" s="1181"/>
      <c r="AE27" s="1181"/>
      <c r="AF27" s="1181"/>
      <c r="AG27" s="1181"/>
      <c r="AH27" s="1181"/>
      <c r="AI27" s="1181"/>
      <c r="AJ27" s="1181"/>
      <c r="AK27" s="1181"/>
      <c r="AL27" s="1181"/>
      <c r="AM27" s="1181"/>
      <c r="AN27" s="1181"/>
      <c r="AO27" s="1181"/>
      <c r="AP27" s="1181"/>
      <c r="AQ27" s="1181"/>
      <c r="AR27" s="1181"/>
      <c r="AS27" s="69"/>
    </row>
    <row r="28" spans="1:52" ht="14.25" customHeight="1">
      <c r="Q28" s="176"/>
      <c r="R28" s="36"/>
      <c r="S28" s="1204" t="str">
        <f>IF(org=0,"Не определено",org)</f>
        <v>ООО "ТЕПЛО ПЛЮС"</v>
      </c>
      <c r="T28" s="1204"/>
      <c r="U28" s="1204"/>
      <c r="V28" s="1204"/>
      <c r="W28" s="1204"/>
      <c r="X28" s="1204"/>
      <c r="Y28" s="1204"/>
      <c r="Z28" s="1204"/>
      <c r="AA28" s="1204"/>
      <c r="AB28" s="1204"/>
      <c r="AC28" s="1204"/>
      <c r="AD28" s="1204"/>
      <c r="AE28" s="1204"/>
      <c r="AF28" s="1204"/>
      <c r="AG28" s="1204"/>
      <c r="AH28" s="1204"/>
      <c r="AI28" s="1204"/>
      <c r="AJ28" s="1204"/>
      <c r="AK28" s="1204"/>
      <c r="AL28" s="1204"/>
      <c r="AM28" s="1204"/>
      <c r="AN28" s="1204"/>
      <c r="AO28" s="1204"/>
      <c r="AP28" s="1204"/>
      <c r="AQ28" s="1204"/>
      <c r="AR28" s="1204"/>
      <c r="AS28" s="69"/>
    </row>
    <row r="29" spans="1:52" ht="14.25" hidden="1" customHeight="1">
      <c r="Q29" s="176"/>
      <c r="R29" s="36"/>
      <c r="S29" s="793"/>
      <c r="T29" s="25"/>
      <c r="U29" s="25"/>
      <c r="V29" s="202"/>
      <c r="W29" s="202"/>
      <c r="X29" s="202"/>
      <c r="Y29" s="202"/>
      <c r="Z29" s="202"/>
      <c r="AA29" s="202"/>
      <c r="AB29" s="202"/>
      <c r="AC29" s="202"/>
      <c r="AD29" s="202"/>
      <c r="AE29" s="202"/>
      <c r="AF29" s="202"/>
      <c r="AG29" s="202"/>
      <c r="AH29" s="202"/>
      <c r="AI29" s="202"/>
      <c r="AJ29" s="202"/>
      <c r="AK29" s="202"/>
      <c r="AL29" s="202"/>
      <c r="AM29" s="202"/>
      <c r="AN29" s="202"/>
      <c r="AO29" s="202"/>
      <c r="AP29" s="202"/>
      <c r="AQ29" s="202"/>
      <c r="AR29" s="202"/>
      <c r="AS29" s="202"/>
    </row>
    <row r="30" spans="1:52" s="44" customFormat="1" ht="25.5" hidden="1" customHeight="1">
      <c r="A30" s="91"/>
      <c r="B30" s="91"/>
      <c r="C30" s="91"/>
      <c r="D30" s="91"/>
      <c r="E30" s="91"/>
      <c r="F30" s="91"/>
      <c r="G30" s="91"/>
      <c r="H30" s="91"/>
      <c r="I30" s="91"/>
      <c r="J30" s="91"/>
      <c r="K30" s="91"/>
      <c r="L30" s="823"/>
      <c r="M30" s="91"/>
      <c r="N30" s="91"/>
      <c r="O30" s="91"/>
      <c r="P30" s="91"/>
      <c r="Q30" s="91"/>
      <c r="S30" s="1329" t="s">
        <v>39</v>
      </c>
      <c r="T30" s="1329"/>
      <c r="U30" s="826"/>
      <c r="V30" s="1330"/>
      <c r="W30" s="1330"/>
      <c r="X30" s="1330"/>
      <c r="Y30" s="1330"/>
      <c r="Z30" s="1330"/>
      <c r="AA30" s="24"/>
      <c r="AB30" s="1330" t="str">
        <f>IF(TITLE_NAME_OR_PR_CHANGE="",IF(TITLE_NAME_OR_PR="","",TITLE_NAME_OR_PR),TITLE_NAME_OR_PR_CHANGE)</f>
        <v/>
      </c>
      <c r="AC30" s="1330"/>
      <c r="AD30" s="1330"/>
      <c r="AE30" s="1330"/>
      <c r="AF30" s="1330"/>
      <c r="AG30" s="1330"/>
      <c r="AH30" s="1330"/>
      <c r="AI30" s="1330"/>
      <c r="AJ30" s="1330"/>
      <c r="AK30" s="1330"/>
      <c r="AL30" s="1330"/>
      <c r="AM30" s="1330"/>
      <c r="AN30" s="1330"/>
      <c r="AO30" s="1330"/>
      <c r="AP30" s="1330"/>
      <c r="AQ30" s="1330"/>
      <c r="AR30" s="1330"/>
      <c r="AS30" s="24"/>
      <c r="AT30" s="24"/>
      <c r="AU30" s="171"/>
      <c r="AV30" s="79"/>
      <c r="AW30" s="79"/>
      <c r="AX30" s="79"/>
      <c r="AY30" s="79"/>
      <c r="AZ30" s="79"/>
    </row>
    <row r="31" spans="1:52" s="44" customFormat="1" ht="18.75" hidden="1" customHeight="1">
      <c r="A31" s="91"/>
      <c r="B31" s="91"/>
      <c r="C31" s="91"/>
      <c r="D31" s="91"/>
      <c r="E31" s="91"/>
      <c r="F31" s="91"/>
      <c r="G31" s="91"/>
      <c r="H31" s="91"/>
      <c r="I31" s="91"/>
      <c r="J31" s="91"/>
      <c r="K31" s="91"/>
      <c r="L31" s="823"/>
      <c r="M31" s="91"/>
      <c r="N31" s="91"/>
      <c r="O31" s="91"/>
      <c r="P31" s="91"/>
      <c r="Q31" s="91"/>
      <c r="S31" s="1329" t="s">
        <v>1485</v>
      </c>
      <c r="T31" s="1329"/>
      <c r="U31" s="826"/>
      <c r="V31" s="1330"/>
      <c r="W31" s="1330"/>
      <c r="X31" s="1330"/>
      <c r="Y31" s="1330"/>
      <c r="Z31" s="1330"/>
      <c r="AA31" s="24"/>
      <c r="AB31" s="1330" t="str">
        <f>IF(TITLE_DATE_CHANGE_PERIOD="",IF(TITLE_DATE_PR="","",TITLE_DATE_PR),TITLE_DATE_CHANGE_PERIOD)</f>
        <v/>
      </c>
      <c r="AC31" s="1330"/>
      <c r="AD31" s="1330"/>
      <c r="AE31" s="1330"/>
      <c r="AF31" s="1330"/>
      <c r="AG31" s="1330"/>
      <c r="AH31" s="1330"/>
      <c r="AI31" s="1330"/>
      <c r="AJ31" s="1330"/>
      <c r="AK31" s="1330"/>
      <c r="AL31" s="1330"/>
      <c r="AM31" s="1330"/>
      <c r="AN31" s="1330"/>
      <c r="AO31" s="1330"/>
      <c r="AP31" s="1330"/>
      <c r="AQ31" s="1330"/>
      <c r="AR31" s="1330"/>
      <c r="AS31" s="24"/>
      <c r="AT31" s="24"/>
      <c r="AU31" s="171"/>
      <c r="AV31" s="79"/>
      <c r="AW31" s="79"/>
      <c r="AX31" s="79"/>
      <c r="AY31" s="79"/>
      <c r="AZ31" s="79"/>
    </row>
    <row r="32" spans="1:52" s="44" customFormat="1" ht="18.75" hidden="1" customHeight="1">
      <c r="A32" s="91"/>
      <c r="B32" s="91"/>
      <c r="C32" s="91"/>
      <c r="D32" s="91"/>
      <c r="E32" s="91"/>
      <c r="F32" s="91"/>
      <c r="G32" s="91"/>
      <c r="H32" s="91"/>
      <c r="I32" s="91"/>
      <c r="J32" s="91"/>
      <c r="K32" s="91"/>
      <c r="L32" s="823"/>
      <c r="M32" s="91"/>
      <c r="N32" s="91"/>
      <c r="O32" s="91"/>
      <c r="P32" s="91"/>
      <c r="Q32" s="91"/>
      <c r="S32" s="1329" t="s">
        <v>1486</v>
      </c>
      <c r="T32" s="1329"/>
      <c r="U32" s="826"/>
      <c r="V32" s="1330"/>
      <c r="W32" s="1330"/>
      <c r="X32" s="1330"/>
      <c r="Y32" s="1330"/>
      <c r="Z32" s="1330"/>
      <c r="AA32" s="24"/>
      <c r="AB32" s="1330" t="str">
        <f>IF(TITLE_NUMBER_PR_CHANGE="",IF(TITLE_NUMBER_PR="","",TITLE_NUMBER_PR),TITLE_NUMBER_PR_CHANGE)</f>
        <v/>
      </c>
      <c r="AC32" s="1330"/>
      <c r="AD32" s="1330"/>
      <c r="AE32" s="1330"/>
      <c r="AF32" s="1330"/>
      <c r="AG32" s="1330"/>
      <c r="AH32" s="1330"/>
      <c r="AI32" s="1330"/>
      <c r="AJ32" s="1330"/>
      <c r="AK32" s="1330"/>
      <c r="AL32" s="1330"/>
      <c r="AM32" s="1330"/>
      <c r="AN32" s="1330"/>
      <c r="AO32" s="1330"/>
      <c r="AP32" s="1330"/>
      <c r="AQ32" s="1330"/>
      <c r="AR32" s="1330"/>
      <c r="AS32" s="24"/>
      <c r="AT32" s="24"/>
      <c r="AU32" s="171"/>
      <c r="AV32" s="79"/>
      <c r="AW32" s="79"/>
      <c r="AX32" s="79"/>
      <c r="AY32" s="79"/>
      <c r="AZ32" s="79"/>
    </row>
    <row r="33" spans="1:52" s="44" customFormat="1" ht="18.75" hidden="1" customHeight="1">
      <c r="A33" s="91"/>
      <c r="B33" s="91"/>
      <c r="C33" s="91"/>
      <c r="D33" s="91"/>
      <c r="E33" s="91"/>
      <c r="F33" s="91"/>
      <c r="G33" s="91"/>
      <c r="H33" s="91"/>
      <c r="I33" s="91"/>
      <c r="J33" s="91"/>
      <c r="K33" s="91"/>
      <c r="L33" s="823"/>
      <c r="M33" s="91"/>
      <c r="N33" s="91"/>
      <c r="O33" s="91"/>
      <c r="P33" s="91"/>
      <c r="Q33" s="91"/>
      <c r="S33" s="1329" t="s">
        <v>40</v>
      </c>
      <c r="T33" s="1329"/>
      <c r="U33" s="826"/>
      <c r="V33" s="1330"/>
      <c r="W33" s="1330"/>
      <c r="X33" s="1330"/>
      <c r="Y33" s="1330"/>
      <c r="Z33" s="1330"/>
      <c r="AA33" s="24"/>
      <c r="AB33" s="1330" t="str">
        <f>IF(TITLE_IST_PUB_CHANGE="",IF(TITLE_IST_PUB="","",TITLE_IST_PUB),TITLE_IST_PUB_CHANGE)</f>
        <v/>
      </c>
      <c r="AC33" s="1330"/>
      <c r="AD33" s="1330"/>
      <c r="AE33" s="1330"/>
      <c r="AF33" s="1330"/>
      <c r="AG33" s="1330"/>
      <c r="AH33" s="1330"/>
      <c r="AI33" s="1330"/>
      <c r="AJ33" s="1330"/>
      <c r="AK33" s="1330"/>
      <c r="AL33" s="1330"/>
      <c r="AM33" s="1330"/>
      <c r="AN33" s="1330"/>
      <c r="AO33" s="1330"/>
      <c r="AP33" s="1330"/>
      <c r="AQ33" s="1330"/>
      <c r="AR33" s="1330"/>
      <c r="AS33" s="24"/>
      <c r="AT33" s="24"/>
      <c r="AU33" s="171"/>
      <c r="AV33" s="79"/>
      <c r="AW33" s="79"/>
      <c r="AX33" s="79"/>
      <c r="AY33" s="79"/>
      <c r="AZ33" s="79"/>
    </row>
    <row r="34" spans="1:52" ht="14.25" hidden="1" customHeight="1">
      <c r="Q34" s="176"/>
      <c r="R34" s="36"/>
      <c r="S34" s="793"/>
      <c r="T34" s="25"/>
      <c r="U34" s="25"/>
      <c r="V34" s="202"/>
      <c r="W34" s="202"/>
      <c r="X34" s="202"/>
      <c r="Y34" s="202"/>
      <c r="Z34" s="202"/>
      <c r="AA34" s="202"/>
      <c r="AB34" s="202"/>
      <c r="AC34" s="202"/>
      <c r="AD34" s="202"/>
      <c r="AE34" s="202"/>
      <c r="AF34" s="202"/>
      <c r="AG34" s="202"/>
      <c r="AH34" s="202"/>
      <c r="AI34" s="202"/>
      <c r="AJ34" s="202"/>
      <c r="AK34" s="202"/>
      <c r="AL34" s="202"/>
      <c r="AM34" s="202"/>
      <c r="AN34" s="202"/>
      <c r="AO34" s="202"/>
      <c r="AP34" s="202"/>
      <c r="AQ34" s="202"/>
      <c r="AR34" s="202"/>
      <c r="AS34" s="202"/>
    </row>
    <row r="35" spans="1:52" s="44" customFormat="1" ht="18.75" hidden="1" customHeight="1">
      <c r="A35" s="91"/>
      <c r="B35" s="91"/>
      <c r="C35" s="91"/>
      <c r="D35" s="91"/>
      <c r="E35" s="91"/>
      <c r="F35" s="91"/>
      <c r="G35" s="91"/>
      <c r="H35" s="91"/>
      <c r="I35" s="91"/>
      <c r="J35" s="91"/>
      <c r="K35" s="91"/>
      <c r="L35" s="823"/>
      <c r="M35" s="91"/>
      <c r="N35" s="91"/>
      <c r="O35" s="91"/>
      <c r="P35" s="91"/>
      <c r="Q35" s="91"/>
      <c r="S35" s="1329" t="s">
        <v>1485</v>
      </c>
      <c r="T35" s="1329"/>
      <c r="U35" s="826"/>
      <c r="V35" s="1330"/>
      <c r="W35" s="1330"/>
      <c r="X35" s="1330"/>
      <c r="Y35" s="1330"/>
      <c r="Z35" s="1330"/>
      <c r="AA35" s="24"/>
      <c r="AB35" s="1330" t="str">
        <f>IF(TITLE_DATE_CHANGE_PERIOD="",IF(TITLE_DATE_PR="","",TITLE_DATE_PR),TITLE_DATE_CHANGE_PERIOD)</f>
        <v/>
      </c>
      <c r="AC35" s="1330"/>
      <c r="AD35" s="1330"/>
      <c r="AE35" s="1330"/>
      <c r="AF35" s="1330"/>
      <c r="AG35" s="1330"/>
      <c r="AH35" s="1330"/>
      <c r="AI35" s="1330"/>
      <c r="AJ35" s="1330"/>
      <c r="AK35" s="1330"/>
      <c r="AL35" s="1330"/>
      <c r="AM35" s="1330"/>
      <c r="AN35" s="1330"/>
      <c r="AO35" s="1330"/>
      <c r="AP35" s="1330"/>
      <c r="AQ35" s="1330"/>
      <c r="AR35" s="1330"/>
      <c r="AS35" s="24"/>
      <c r="AT35" s="24"/>
      <c r="AU35" s="171"/>
      <c r="AV35" s="79"/>
      <c r="AW35" s="79"/>
      <c r="AX35" s="79"/>
      <c r="AY35" s="79"/>
      <c r="AZ35" s="79"/>
    </row>
    <row r="36" spans="1:52" s="44" customFormat="1" ht="18" hidden="1" customHeight="1">
      <c r="A36" s="91"/>
      <c r="B36" s="91"/>
      <c r="C36" s="91"/>
      <c r="D36" s="91"/>
      <c r="E36" s="91"/>
      <c r="F36" s="91"/>
      <c r="G36" s="91"/>
      <c r="H36" s="91"/>
      <c r="I36" s="91"/>
      <c r="J36" s="91"/>
      <c r="K36" s="91"/>
      <c r="L36" s="823"/>
      <c r="M36" s="91"/>
      <c r="N36" s="91"/>
      <c r="O36" s="91"/>
      <c r="P36" s="91"/>
      <c r="Q36" s="91"/>
      <c r="S36" s="1329" t="s">
        <v>1486</v>
      </c>
      <c r="T36" s="1329"/>
      <c r="U36" s="826"/>
      <c r="V36" s="1330"/>
      <c r="W36" s="1330"/>
      <c r="X36" s="1330"/>
      <c r="Y36" s="1330"/>
      <c r="Z36" s="1330"/>
      <c r="AA36" s="24"/>
      <c r="AB36" s="1330" t="str">
        <f>IF(TITLE_NUMBER_PR_CHANGE="",IF(TITLE_NUMBER_PR="","",TITLE_NUMBER_PR),TITLE_NUMBER_PR_CHANGE)</f>
        <v/>
      </c>
      <c r="AC36" s="1330"/>
      <c r="AD36" s="1330"/>
      <c r="AE36" s="1330"/>
      <c r="AF36" s="1330"/>
      <c r="AG36" s="1330"/>
      <c r="AH36" s="1330"/>
      <c r="AI36" s="1330"/>
      <c r="AJ36" s="1330"/>
      <c r="AK36" s="1330"/>
      <c r="AL36" s="1330"/>
      <c r="AM36" s="1330"/>
      <c r="AN36" s="1330"/>
      <c r="AO36" s="1330"/>
      <c r="AP36" s="1330"/>
      <c r="AQ36" s="1330"/>
      <c r="AR36" s="1330"/>
      <c r="AS36" s="24"/>
      <c r="AT36" s="24"/>
      <c r="AU36" s="171"/>
      <c r="AV36" s="79"/>
      <c r="AW36" s="79"/>
      <c r="AX36" s="79"/>
      <c r="AY36" s="79"/>
      <c r="AZ36" s="79"/>
    </row>
    <row r="37" spans="1:52" s="44" customFormat="1" ht="0.75" customHeight="1">
      <c r="A37" s="91"/>
      <c r="B37" s="91"/>
      <c r="C37" s="91"/>
      <c r="D37" s="91"/>
      <c r="E37" s="91"/>
      <c r="F37" s="91"/>
      <c r="G37" s="91"/>
      <c r="H37" s="91"/>
      <c r="I37" s="91"/>
      <c r="J37" s="91"/>
      <c r="K37" s="91"/>
      <c r="L37" s="823"/>
      <c r="M37" s="91"/>
      <c r="N37" s="91"/>
      <c r="O37" s="91"/>
      <c r="P37" s="91"/>
      <c r="Q37" s="91"/>
      <c r="S37" s="24"/>
      <c r="T37" s="24"/>
      <c r="U37" s="87"/>
      <c r="V37" s="24"/>
      <c r="W37" s="24"/>
      <c r="X37" s="24"/>
      <c r="Y37" s="24"/>
      <c r="Z37" s="24"/>
      <c r="AA37" s="77" t="s">
        <v>1489</v>
      </c>
      <c r="AB37" s="24"/>
      <c r="AC37" s="24"/>
      <c r="AD37" s="24"/>
      <c r="AE37" s="24"/>
      <c r="AF37" s="24"/>
      <c r="AG37" s="24"/>
      <c r="AH37" s="24"/>
      <c r="AI37" s="24"/>
      <c r="AJ37" s="24"/>
      <c r="AK37" s="24"/>
      <c r="AL37" s="24"/>
      <c r="AM37" s="24"/>
      <c r="AN37" s="24"/>
      <c r="AO37" s="24"/>
      <c r="AP37" s="24"/>
      <c r="AQ37" s="24"/>
      <c r="AR37" s="24"/>
      <c r="AS37" s="77" t="s">
        <v>1489</v>
      </c>
      <c r="AV37" s="79"/>
      <c r="AW37" s="79"/>
      <c r="AX37" s="79"/>
      <c r="AY37" s="79"/>
      <c r="AZ37" s="79"/>
    </row>
    <row r="38" spans="1:52" ht="14.25" customHeight="1">
      <c r="Q38" s="176"/>
      <c r="R38" s="36"/>
      <c r="S38" s="793"/>
      <c r="T38" s="25"/>
      <c r="U38" s="766"/>
      <c r="V38" s="1348"/>
      <c r="W38" s="1348"/>
      <c r="X38" s="1348"/>
      <c r="Y38" s="1348"/>
      <c r="Z38" s="1348"/>
      <c r="AA38" s="1348"/>
      <c r="AB38" s="1348"/>
      <c r="AC38" s="1348"/>
      <c r="AD38" s="1348"/>
      <c r="AE38" s="1348"/>
      <c r="AF38" s="1348"/>
      <c r="AG38" s="1348"/>
      <c r="AH38" s="1348"/>
      <c r="AI38" s="1348"/>
      <c r="AJ38" s="1348"/>
      <c r="AK38" s="1348"/>
      <c r="AL38" s="1348"/>
      <c r="AM38" s="1348"/>
      <c r="AN38" s="1348"/>
      <c r="AO38" s="1348"/>
      <c r="AP38" s="1348"/>
      <c r="AQ38" s="1348"/>
      <c r="AR38" s="1348"/>
      <c r="AS38" s="1348"/>
    </row>
    <row r="39" spans="1:52" ht="14.25" customHeight="1">
      <c r="Q39" s="176"/>
      <c r="R39" s="36"/>
      <c r="S39" s="1123" t="s">
        <v>292</v>
      </c>
      <c r="T39" s="1123"/>
      <c r="U39" s="1123"/>
      <c r="V39" s="1123"/>
      <c r="W39" s="1123"/>
      <c r="X39" s="1123"/>
      <c r="Y39" s="1123"/>
      <c r="Z39" s="1123"/>
      <c r="AA39" s="1123"/>
      <c r="AB39" s="1123"/>
      <c r="AC39" s="1123"/>
      <c r="AD39" s="1123"/>
      <c r="AE39" s="1123"/>
      <c r="AF39" s="1123"/>
      <c r="AG39" s="1123"/>
      <c r="AH39" s="1123"/>
      <c r="AI39" s="1123"/>
      <c r="AJ39" s="1123"/>
      <c r="AK39" s="1123"/>
      <c r="AL39" s="1123"/>
      <c r="AM39" s="1123"/>
      <c r="AN39" s="1123"/>
      <c r="AO39" s="1123"/>
      <c r="AP39" s="1123"/>
      <c r="AQ39" s="1123"/>
      <c r="AR39" s="1123"/>
      <c r="AS39" s="1123"/>
      <c r="AT39" s="1123"/>
      <c r="AU39" s="1123" t="s">
        <v>293</v>
      </c>
    </row>
    <row r="40" spans="1:52" ht="14.25" customHeight="1">
      <c r="Q40" s="176"/>
      <c r="R40" s="36"/>
      <c r="S40" s="1349" t="s">
        <v>88</v>
      </c>
      <c r="T40" s="1213" t="s">
        <v>1490</v>
      </c>
      <c r="U40" s="180"/>
      <c r="V40" s="1351"/>
      <c r="W40" s="1351"/>
      <c r="X40" s="1351"/>
      <c r="Y40" s="1351"/>
      <c r="Z40" s="1352"/>
      <c r="AA40" s="1353" t="s">
        <v>1492</v>
      </c>
      <c r="AB40" s="1375" t="s">
        <v>1547</v>
      </c>
      <c r="AC40" s="1364"/>
      <c r="AD40" s="1364"/>
      <c r="AE40" s="1376"/>
      <c r="AF40" s="1375" t="s">
        <v>1548</v>
      </c>
      <c r="AG40" s="1364"/>
      <c r="AH40" s="1364"/>
      <c r="AI40" s="1376"/>
      <c r="AJ40" s="1375" t="s">
        <v>1549</v>
      </c>
      <c r="AK40" s="1364"/>
      <c r="AL40" s="1364"/>
      <c r="AM40" s="1376"/>
      <c r="AN40" s="1350" t="s">
        <v>1491</v>
      </c>
      <c r="AO40" s="1351"/>
      <c r="AP40" s="1351"/>
      <c r="AQ40" s="1351"/>
      <c r="AR40" s="1352"/>
      <c r="AS40" s="1353" t="s">
        <v>1492</v>
      </c>
      <c r="AT40" s="1356" t="s">
        <v>1494</v>
      </c>
      <c r="AU40" s="1123"/>
    </row>
    <row r="41" spans="1:52" ht="33.75" customHeight="1">
      <c r="Q41" s="176"/>
      <c r="R41" s="36"/>
      <c r="S41" s="1349"/>
      <c r="T41" s="1213"/>
      <c r="U41" s="647"/>
      <c r="V41" s="1183" t="s">
        <v>1550</v>
      </c>
      <c r="W41" s="1184"/>
      <c r="X41" s="1183" t="s">
        <v>1498</v>
      </c>
      <c r="Y41" s="1369"/>
      <c r="Z41" s="1184"/>
      <c r="AA41" s="1354"/>
      <c r="AB41" s="1377"/>
      <c r="AC41" s="1378"/>
      <c r="AD41" s="1378"/>
      <c r="AE41" s="1379"/>
      <c r="AF41" s="1377"/>
      <c r="AG41" s="1378"/>
      <c r="AH41" s="1378"/>
      <c r="AI41" s="1379"/>
      <c r="AJ41" s="1377"/>
      <c r="AK41" s="1378"/>
      <c r="AL41" s="1378"/>
      <c r="AM41" s="1379"/>
      <c r="AN41" s="1183" t="s">
        <v>1550</v>
      </c>
      <c r="AO41" s="1184"/>
      <c r="AP41" s="1183" t="s">
        <v>1498</v>
      </c>
      <c r="AQ41" s="1369"/>
      <c r="AR41" s="1184"/>
      <c r="AS41" s="1354"/>
      <c r="AT41" s="1357"/>
      <c r="AU41" s="1123"/>
    </row>
    <row r="42" spans="1:52" ht="14.25" customHeight="1">
      <c r="Q42" s="176"/>
      <c r="R42" s="36"/>
      <c r="S42" s="1349"/>
      <c r="T42" s="1213"/>
      <c r="U42" s="647"/>
      <c r="V42" s="1188"/>
      <c r="W42" s="1189"/>
      <c r="X42" s="1188"/>
      <c r="Y42" s="1370"/>
      <c r="Z42" s="1189"/>
      <c r="AA42" s="1354"/>
      <c r="AB42" s="1377"/>
      <c r="AC42" s="1378"/>
      <c r="AD42" s="1378"/>
      <c r="AE42" s="1379"/>
      <c r="AF42" s="1377"/>
      <c r="AG42" s="1378"/>
      <c r="AH42" s="1378"/>
      <c r="AI42" s="1379"/>
      <c r="AJ42" s="1377"/>
      <c r="AK42" s="1378"/>
      <c r="AL42" s="1378"/>
      <c r="AM42" s="1379"/>
      <c r="AN42" s="1188"/>
      <c r="AO42" s="1189"/>
      <c r="AP42" s="1188"/>
      <c r="AQ42" s="1370"/>
      <c r="AR42" s="1189"/>
      <c r="AS42" s="1354"/>
      <c r="AT42" s="1357"/>
      <c r="AU42" s="1123"/>
    </row>
    <row r="43" spans="1:52" ht="14.25" customHeight="1">
      <c r="A43" s="91"/>
      <c r="B43" s="91" t="s">
        <v>136</v>
      </c>
      <c r="C43" s="91" t="s">
        <v>137</v>
      </c>
      <c r="D43" s="91" t="s">
        <v>138</v>
      </c>
      <c r="E43" s="823" t="s">
        <v>1499</v>
      </c>
      <c r="F43" s="823" t="s">
        <v>1500</v>
      </c>
      <c r="G43" s="823" t="s">
        <v>1501</v>
      </c>
      <c r="H43" s="823" t="s">
        <v>1502</v>
      </c>
      <c r="I43" s="823" t="s">
        <v>1503</v>
      </c>
      <c r="J43" s="823" t="s">
        <v>1504</v>
      </c>
      <c r="K43" s="823" t="s">
        <v>1505</v>
      </c>
      <c r="L43" s="823" t="s">
        <v>1480</v>
      </c>
      <c r="Q43" s="176"/>
      <c r="R43" s="36"/>
      <c r="S43" s="1349"/>
      <c r="T43" s="1213"/>
      <c r="U43" s="181"/>
      <c r="V43" s="45" t="s">
        <v>1551</v>
      </c>
      <c r="W43" s="45" t="s">
        <v>1552</v>
      </c>
      <c r="X43" s="48" t="s">
        <v>1508</v>
      </c>
      <c r="Y43" s="1219" t="s">
        <v>1509</v>
      </c>
      <c r="Z43" s="1233"/>
      <c r="AA43" s="1355"/>
      <c r="AB43" s="1380"/>
      <c r="AC43" s="1381"/>
      <c r="AD43" s="1381"/>
      <c r="AE43" s="1382"/>
      <c r="AF43" s="1380"/>
      <c r="AG43" s="1381"/>
      <c r="AH43" s="1381"/>
      <c r="AI43" s="1382"/>
      <c r="AJ43" s="1380"/>
      <c r="AK43" s="1381"/>
      <c r="AL43" s="1381"/>
      <c r="AM43" s="1382"/>
      <c r="AN43" s="45" t="s">
        <v>1551</v>
      </c>
      <c r="AO43" s="45" t="s">
        <v>1552</v>
      </c>
      <c r="AP43" s="48" t="s">
        <v>1508</v>
      </c>
      <c r="AQ43" s="1219" t="s">
        <v>1509</v>
      </c>
      <c r="AR43" s="1233"/>
      <c r="AS43" s="1355"/>
      <c r="AT43" s="1358"/>
      <c r="AU43" s="1123"/>
    </row>
    <row r="44" spans="1:52" s="216" customFormat="1" ht="11.25" hidden="1" customHeight="1">
      <c r="A44" s="91"/>
      <c r="B44" s="91"/>
      <c r="C44" s="91"/>
      <c r="D44" s="91"/>
      <c r="E44" s="91"/>
      <c r="F44" s="91"/>
      <c r="G44" s="91"/>
      <c r="H44" s="91"/>
      <c r="I44" s="91"/>
      <c r="J44" s="91"/>
      <c r="K44" s="91"/>
      <c r="L44" s="823"/>
      <c r="M44" s="541"/>
      <c r="N44" s="541"/>
      <c r="O44" s="541"/>
      <c r="P44" s="235"/>
      <c r="Q44" s="777"/>
      <c r="R44" s="777">
        <v>1</v>
      </c>
      <c r="S44" s="795" t="s">
        <v>109</v>
      </c>
      <c r="T44" s="778" t="s">
        <v>110</v>
      </c>
      <c r="U44" s="767" t="str">
        <f ca="1">OFFSET(U44,0,-1)</f>
        <v>2</v>
      </c>
      <c r="V44" s="779">
        <f ca="1">OFFSET(V44,0,-1)+1</f>
        <v>3</v>
      </c>
      <c r="W44" s="779">
        <f ca="1">OFFSET(W44,0,-1)+1</f>
        <v>4</v>
      </c>
      <c r="X44" s="779">
        <f ca="1">OFFSET(X44,0,-1)+1</f>
        <v>5</v>
      </c>
      <c r="Y44" s="1347">
        <f ca="1">OFFSET(Y44,0,-1)+1</f>
        <v>6</v>
      </c>
      <c r="Z44" s="1347"/>
      <c r="AA44" s="779">
        <f ca="1">OFFSET(AA44,0,-2)+1</f>
        <v>7</v>
      </c>
      <c r="AB44" s="779">
        <f ca="1">OFFSET(AB44,0,-1)+1</f>
        <v>8</v>
      </c>
      <c r="AC44" s="779"/>
      <c r="AD44" s="779"/>
      <c r="AE44" s="779"/>
      <c r="AF44" s="779"/>
      <c r="AG44" s="779"/>
      <c r="AH44" s="779"/>
      <c r="AI44" s="779"/>
      <c r="AJ44" s="779"/>
      <c r="AK44" s="779"/>
      <c r="AL44" s="779"/>
      <c r="AM44" s="779"/>
      <c r="AN44" s="779">
        <f ca="1">OFFSET(AN44,0,-1)+1</f>
        <v>1</v>
      </c>
      <c r="AO44" s="779">
        <f ca="1">OFFSET(AO44,0,-1)+1</f>
        <v>2</v>
      </c>
      <c r="AP44" s="779">
        <f ca="1">OFFSET(AP44,0,-1)+1</f>
        <v>3</v>
      </c>
      <c r="AQ44" s="1347">
        <f ca="1">OFFSET(AQ44,0,-1)+1</f>
        <v>4</v>
      </c>
      <c r="AR44" s="1347"/>
      <c r="AS44" s="779">
        <f ca="1">OFFSET(AS44,0,-2)+1</f>
        <v>5</v>
      </c>
      <c r="AT44" s="767">
        <f ca="1">OFFSET(AT44,0,-1)</f>
        <v>5</v>
      </c>
      <c r="AU44" s="779">
        <f ca="1">OFFSET(AU44,0,-1)+1</f>
        <v>6</v>
      </c>
      <c r="AV44" s="77"/>
      <c r="AW44" s="77"/>
      <c r="AX44" s="77"/>
      <c r="AY44" s="77"/>
      <c r="AZ44" s="77"/>
    </row>
    <row r="45" spans="1:52" ht="21" customHeight="1">
      <c r="A45" s="822" t="s">
        <v>204</v>
      </c>
      <c r="B45" s="822"/>
      <c r="C45" s="822"/>
      <c r="D45" s="822"/>
      <c r="E45" s="1337">
        <v>1</v>
      </c>
      <c r="F45" s="822"/>
      <c r="G45" s="822"/>
      <c r="H45" s="822"/>
      <c r="I45" s="822"/>
      <c r="J45" s="822"/>
      <c r="K45" s="822"/>
      <c r="L45" s="823"/>
      <c r="M45" s="452"/>
      <c r="N45" s="452"/>
      <c r="O45" s="452"/>
      <c r="Q45" s="71"/>
      <c r="R45" s="220"/>
      <c r="S45" s="755">
        <f>INDEX(PT_DIFFERENTIATION_NUM_NTAR,MATCH(A45,PT_DIFFERENTIATION_NTAR_ID,0))</f>
        <v>0</v>
      </c>
      <c r="T45" s="76" t="s">
        <v>124</v>
      </c>
      <c r="U45" s="179"/>
      <c r="V45" s="1332"/>
      <c r="W45" s="1332"/>
      <c r="X45" s="1332"/>
      <c r="Y45" s="1332"/>
      <c r="Z45" s="1332"/>
      <c r="AA45" s="1333"/>
      <c r="AB45" s="1331" t="str">
        <f>INDEX(PT_DIFFERENTIATION_NTAR,MATCH(A45,PT_DIFFERENTIATION_NTAR_ID,0))</f>
        <v/>
      </c>
      <c r="AC45" s="1332"/>
      <c r="AD45" s="1332"/>
      <c r="AE45" s="1332"/>
      <c r="AF45" s="1332"/>
      <c r="AG45" s="1332"/>
      <c r="AH45" s="1332"/>
      <c r="AI45" s="1332"/>
      <c r="AJ45" s="1332"/>
      <c r="AK45" s="1332"/>
      <c r="AL45" s="1332"/>
      <c r="AM45" s="1332"/>
      <c r="AN45" s="1332"/>
      <c r="AO45" s="1332"/>
      <c r="AP45" s="1332"/>
      <c r="AQ45" s="1332"/>
      <c r="AR45" s="1332"/>
      <c r="AS45" s="1332"/>
      <c r="AT45" s="1333"/>
      <c r="AU45" s="782" t="s">
        <v>1461</v>
      </c>
      <c r="AW45" s="79"/>
      <c r="AX45" s="79" t="str">
        <f t="shared" ref="AX45:AX51" si="2">IF(T45="","",T45)</f>
        <v>Наименование тарифа</v>
      </c>
      <c r="AY45" s="79"/>
      <c r="AZ45" s="79"/>
    </row>
    <row r="46" spans="1:52" ht="21" customHeight="1">
      <c r="A46" s="822" t="s">
        <v>204</v>
      </c>
      <c r="B46" s="822" t="s">
        <v>205</v>
      </c>
      <c r="C46" s="822"/>
      <c r="D46" s="822"/>
      <c r="E46" s="1338"/>
      <c r="F46" s="1337">
        <v>1</v>
      </c>
      <c r="G46" s="822"/>
      <c r="H46" s="822"/>
      <c r="I46" s="822"/>
      <c r="J46" s="822"/>
      <c r="K46" s="822"/>
      <c r="L46" s="823"/>
      <c r="M46" s="452"/>
      <c r="N46" s="452"/>
      <c r="O46" s="452"/>
      <c r="P46" s="388"/>
      <c r="Q46" s="845"/>
      <c r="R46" s="218"/>
      <c r="S46" s="755" t="str">
        <f>INDEX(PT_DIFFERENTIATION_NUM_TER,MATCH(B46,PT_DIFFERENTIATION_TER_ID,0))</f>
        <v>.</v>
      </c>
      <c r="T46" s="187" t="s">
        <v>1462</v>
      </c>
      <c r="U46" s="179"/>
      <c r="V46" s="1332"/>
      <c r="W46" s="1332"/>
      <c r="X46" s="1332"/>
      <c r="Y46" s="1332"/>
      <c r="Z46" s="1332"/>
      <c r="AA46" s="1333"/>
      <c r="AB46" s="1331" t="str">
        <f>INDEX(PT_DIFFERENTIATION_TER,MATCH(B46,PT_DIFFERENTIATION_TER_ID,0))</f>
        <v/>
      </c>
      <c r="AC46" s="1332"/>
      <c r="AD46" s="1332"/>
      <c r="AE46" s="1332"/>
      <c r="AF46" s="1332"/>
      <c r="AG46" s="1332"/>
      <c r="AH46" s="1332"/>
      <c r="AI46" s="1332"/>
      <c r="AJ46" s="1332"/>
      <c r="AK46" s="1332"/>
      <c r="AL46" s="1332"/>
      <c r="AM46" s="1332"/>
      <c r="AN46" s="1332"/>
      <c r="AO46" s="1332"/>
      <c r="AP46" s="1332"/>
      <c r="AQ46" s="1332"/>
      <c r="AR46" s="1332"/>
      <c r="AS46" s="1332"/>
      <c r="AT46" s="1333"/>
      <c r="AU46" s="782" t="s">
        <v>1463</v>
      </c>
      <c r="AW46" s="79"/>
      <c r="AX46" s="79" t="str">
        <f t="shared" si="2"/>
        <v>Территория действия тарифа</v>
      </c>
      <c r="AY46" s="79"/>
      <c r="AZ46" s="79"/>
    </row>
    <row r="47" spans="1:52" ht="23.25" customHeight="1">
      <c r="A47" s="822" t="s">
        <v>204</v>
      </c>
      <c r="B47" s="822" t="s">
        <v>205</v>
      </c>
      <c r="C47" s="822" t="s">
        <v>206</v>
      </c>
      <c r="D47" s="822"/>
      <c r="E47" s="1338"/>
      <c r="F47" s="1338"/>
      <c r="G47" s="1337">
        <v>1</v>
      </c>
      <c r="H47" s="822"/>
      <c r="I47" s="822"/>
      <c r="J47" s="822"/>
      <c r="K47" s="822"/>
      <c r="L47" s="823"/>
      <c r="M47" s="452"/>
      <c r="N47" s="452"/>
      <c r="O47" s="452"/>
      <c r="P47" s="136"/>
      <c r="Q47" s="845"/>
      <c r="R47" s="218"/>
      <c r="S47" s="755" t="str">
        <f>INDEX(PT_DIFFERENTIATION_NUM_CS,MATCH(C47,PT_DIFFERENTIATION_CS_ID,0))</f>
        <v>..</v>
      </c>
      <c r="T47" s="188" t="s">
        <v>1464</v>
      </c>
      <c r="U47" s="179"/>
      <c r="V47" s="1332"/>
      <c r="W47" s="1332"/>
      <c r="X47" s="1332"/>
      <c r="Y47" s="1332"/>
      <c r="Z47" s="1332"/>
      <c r="AA47" s="1333"/>
      <c r="AB47" s="1331" t="str">
        <f>INDEX(PT_DIFFERENTIATION_CS,MATCH(C47,PT_DIFFERENTIATION_CS_ID,0))</f>
        <v/>
      </c>
      <c r="AC47" s="1332"/>
      <c r="AD47" s="1332"/>
      <c r="AE47" s="1332"/>
      <c r="AF47" s="1332"/>
      <c r="AG47" s="1332"/>
      <c r="AH47" s="1332"/>
      <c r="AI47" s="1332"/>
      <c r="AJ47" s="1332"/>
      <c r="AK47" s="1332"/>
      <c r="AL47" s="1332"/>
      <c r="AM47" s="1332"/>
      <c r="AN47" s="1332"/>
      <c r="AO47" s="1332"/>
      <c r="AP47" s="1332"/>
      <c r="AQ47" s="1332"/>
      <c r="AR47" s="1332"/>
      <c r="AS47" s="1332"/>
      <c r="AT47" s="1333"/>
      <c r="AU47" s="782" t="s">
        <v>1465</v>
      </c>
      <c r="AW47" s="79"/>
      <c r="AX47" s="79" t="str">
        <f t="shared" si="2"/>
        <v xml:space="preserve">Наименование системы теплоснабжения </v>
      </c>
      <c r="AY47" s="79"/>
      <c r="AZ47" s="79"/>
    </row>
    <row r="48" spans="1:52" ht="21" customHeight="1">
      <c r="A48" s="822" t="s">
        <v>204</v>
      </c>
      <c r="B48" s="822" t="s">
        <v>205</v>
      </c>
      <c r="C48" s="822" t="s">
        <v>206</v>
      </c>
      <c r="D48" s="822" t="s">
        <v>207</v>
      </c>
      <c r="E48" s="1338"/>
      <c r="F48" s="1338"/>
      <c r="G48" s="1338"/>
      <c r="H48" s="1337">
        <v>1</v>
      </c>
      <c r="I48" s="822"/>
      <c r="J48" s="822"/>
      <c r="K48" s="822"/>
      <c r="L48" s="823"/>
      <c r="M48" s="452"/>
      <c r="N48" s="452"/>
      <c r="O48" s="452"/>
      <c r="P48" s="136"/>
      <c r="Q48" s="845"/>
      <c r="R48" s="218"/>
      <c r="S48" s="755" t="str">
        <f>INDEX(PT_DIFFERENTIATION_NUM_IST_TE,MATCH(D48,PT_DIFFERENTIATION_IST_TE_ID,0))</f>
        <v>...</v>
      </c>
      <c r="T48" s="189" t="s">
        <v>1466</v>
      </c>
      <c r="U48" s="179"/>
      <c r="V48" s="1332"/>
      <c r="W48" s="1332"/>
      <c r="X48" s="1332"/>
      <c r="Y48" s="1332"/>
      <c r="Z48" s="1332"/>
      <c r="AA48" s="1333"/>
      <c r="AB48" s="1331" t="str">
        <f>INDEX(PT_DIFFERENTIATION_IST_TE,MATCH(D48,PT_DIFFERENTIATION_IST_TE_ID,0))</f>
        <v/>
      </c>
      <c r="AC48" s="1332"/>
      <c r="AD48" s="1332"/>
      <c r="AE48" s="1332"/>
      <c r="AF48" s="1332"/>
      <c r="AG48" s="1332"/>
      <c r="AH48" s="1332"/>
      <c r="AI48" s="1332"/>
      <c r="AJ48" s="1332"/>
      <c r="AK48" s="1332"/>
      <c r="AL48" s="1332"/>
      <c r="AM48" s="1332"/>
      <c r="AN48" s="1332"/>
      <c r="AO48" s="1332"/>
      <c r="AP48" s="1332"/>
      <c r="AQ48" s="1332"/>
      <c r="AR48" s="1332"/>
      <c r="AS48" s="1332"/>
      <c r="AT48" s="1333"/>
      <c r="AU48" s="782" t="s">
        <v>1467</v>
      </c>
      <c r="AW48" s="79"/>
      <c r="AX48" s="79" t="str">
        <f t="shared" si="2"/>
        <v xml:space="preserve">Источник тепловой энергии  </v>
      </c>
      <c r="AY48" s="79"/>
      <c r="AZ48" s="79"/>
    </row>
    <row r="49" spans="1:52" s="77" customFormat="1" ht="0" hidden="1" customHeight="1">
      <c r="A49" s="150" t="s">
        <v>204</v>
      </c>
      <c r="B49" s="150" t="s">
        <v>205</v>
      </c>
      <c r="C49" s="150" t="s">
        <v>206</v>
      </c>
      <c r="D49" s="150" t="s">
        <v>207</v>
      </c>
      <c r="E49" s="1338"/>
      <c r="F49" s="1338"/>
      <c r="G49" s="1338"/>
      <c r="H49" s="1338"/>
      <c r="I49" s="1339" t="str">
        <f>S48&amp;".1"</f>
        <v>....1</v>
      </c>
      <c r="J49" s="150"/>
      <c r="K49" s="150"/>
      <c r="L49" s="373" t="s">
        <v>1468</v>
      </c>
      <c r="M49" s="235"/>
      <c r="N49" s="235"/>
      <c r="O49" s="235"/>
      <c r="P49" s="1259">
        <v>1</v>
      </c>
      <c r="Q49" s="127"/>
      <c r="R49" s="221"/>
      <c r="S49" s="389"/>
      <c r="T49" s="831"/>
      <c r="U49" s="832"/>
      <c r="V49" s="1366"/>
      <c r="W49" s="1366"/>
      <c r="X49" s="1366"/>
      <c r="Y49" s="1366"/>
      <c r="Z49" s="1366"/>
      <c r="AA49" s="1367"/>
      <c r="AB49" s="1365"/>
      <c r="AC49" s="1366"/>
      <c r="AD49" s="1366"/>
      <c r="AE49" s="1366"/>
      <c r="AF49" s="1366"/>
      <c r="AG49" s="1366"/>
      <c r="AH49" s="1366"/>
      <c r="AI49" s="1366"/>
      <c r="AJ49" s="1366"/>
      <c r="AK49" s="1366"/>
      <c r="AL49" s="1366"/>
      <c r="AM49" s="1366"/>
      <c r="AN49" s="1366"/>
      <c r="AO49" s="1366"/>
      <c r="AP49" s="1366"/>
      <c r="AQ49" s="1366"/>
      <c r="AR49" s="1366"/>
      <c r="AS49" s="1366"/>
      <c r="AT49" s="1367"/>
      <c r="AU49" s="833"/>
      <c r="AW49" s="79"/>
      <c r="AX49" s="79" t="str">
        <f t="shared" si="2"/>
        <v/>
      </c>
      <c r="AY49" s="79"/>
      <c r="AZ49" s="79"/>
    </row>
    <row r="50" spans="1:52" s="77" customFormat="1" ht="0" hidden="1" customHeight="1">
      <c r="A50" s="150" t="s">
        <v>204</v>
      </c>
      <c r="B50" s="150" t="s">
        <v>205</v>
      </c>
      <c r="C50" s="150" t="s">
        <v>206</v>
      </c>
      <c r="D50" s="150" t="s">
        <v>207</v>
      </c>
      <c r="E50" s="1338"/>
      <c r="F50" s="1338"/>
      <c r="G50" s="1338"/>
      <c r="H50" s="1338"/>
      <c r="I50" s="1340"/>
      <c r="J50" s="1339" t="str">
        <f>S48&amp;".1"</f>
        <v>....1</v>
      </c>
      <c r="K50" s="150"/>
      <c r="L50" s="373"/>
      <c r="M50" s="235"/>
      <c r="N50" s="235"/>
      <c r="O50" s="235"/>
      <c r="P50" s="1259"/>
      <c r="Q50" s="1259">
        <v>1</v>
      </c>
      <c r="R50" s="222"/>
      <c r="S50" s="389"/>
      <c r="T50" s="840"/>
      <c r="U50" s="832"/>
      <c r="V50" s="1366"/>
      <c r="W50" s="1366"/>
      <c r="X50" s="1366"/>
      <c r="Y50" s="1366"/>
      <c r="Z50" s="1366"/>
      <c r="AA50" s="1367"/>
      <c r="AB50" s="1365"/>
      <c r="AC50" s="1366"/>
      <c r="AD50" s="1366"/>
      <c r="AE50" s="1366"/>
      <c r="AF50" s="1366"/>
      <c r="AG50" s="1366"/>
      <c r="AH50" s="1366"/>
      <c r="AI50" s="1366"/>
      <c r="AJ50" s="1366"/>
      <c r="AK50" s="1366"/>
      <c r="AL50" s="1366"/>
      <c r="AM50" s="1366"/>
      <c r="AN50" s="1366"/>
      <c r="AO50" s="1366"/>
      <c r="AP50" s="1366"/>
      <c r="AQ50" s="1366"/>
      <c r="AR50" s="1366"/>
      <c r="AS50" s="1366"/>
      <c r="AT50" s="1367"/>
      <c r="AU50" s="833"/>
      <c r="AW50" s="79"/>
      <c r="AX50" s="79" t="str">
        <f t="shared" si="2"/>
        <v/>
      </c>
      <c r="AY50" s="79"/>
      <c r="AZ50" s="79"/>
    </row>
    <row r="51" spans="1:52" ht="21" customHeight="1">
      <c r="A51" s="822" t="s">
        <v>204</v>
      </c>
      <c r="B51" s="822" t="s">
        <v>205</v>
      </c>
      <c r="C51" s="822" t="s">
        <v>206</v>
      </c>
      <c r="D51" s="822" t="s">
        <v>207</v>
      </c>
      <c r="E51" s="1338"/>
      <c r="F51" s="1338"/>
      <c r="G51" s="1338"/>
      <c r="H51" s="1338"/>
      <c r="I51" s="1340"/>
      <c r="J51" s="1340"/>
      <c r="K51" s="1339" t="str">
        <f>S48&amp;".1"</f>
        <v>....1</v>
      </c>
      <c r="L51" s="823"/>
      <c r="P51" s="1259"/>
      <c r="Q51" s="1259"/>
      <c r="R51" s="222">
        <v>1</v>
      </c>
      <c r="S51" s="1388" t="str">
        <f>$K51</f>
        <v>....1</v>
      </c>
      <c r="T51" s="1385"/>
      <c r="U51" s="179"/>
      <c r="V51" s="1054"/>
      <c r="W51" s="1056"/>
      <c r="X51" s="990"/>
      <c r="Y51" s="322" t="s">
        <v>67</v>
      </c>
      <c r="Z51" s="990"/>
      <c r="AA51" s="322" t="s">
        <v>67</v>
      </c>
      <c r="AB51" s="1133" t="s">
        <v>57</v>
      </c>
      <c r="AC51" s="1384"/>
      <c r="AD51" s="1383">
        <v>1</v>
      </c>
      <c r="AE51" s="1374" t="s">
        <v>17</v>
      </c>
      <c r="AF51" s="1133" t="s">
        <v>57</v>
      </c>
      <c r="AG51" s="1384"/>
      <c r="AH51" s="1383">
        <v>1</v>
      </c>
      <c r="AI51" s="1374" t="s">
        <v>17</v>
      </c>
      <c r="AJ51" s="1133" t="s">
        <v>57</v>
      </c>
      <c r="AK51" s="190"/>
      <c r="AL51" s="820">
        <v>1</v>
      </c>
      <c r="AM51" s="348"/>
      <c r="AN51" s="1054"/>
      <c r="AO51" s="1056"/>
      <c r="AP51" s="990"/>
      <c r="AQ51" s="322" t="s">
        <v>67</v>
      </c>
      <c r="AR51" s="990"/>
      <c r="AS51" s="322" t="s">
        <v>67</v>
      </c>
      <c r="AT51" s="1060"/>
      <c r="AU51" s="1359" t="s">
        <v>1538</v>
      </c>
      <c r="AV51" s="77" t="e">
        <f ca="1">STRCHECKDATE(V54:AT54)</f>
        <v>#NAME?</v>
      </c>
      <c r="AW51" s="79"/>
      <c r="AX51" s="79" t="str">
        <f t="shared" si="2"/>
        <v/>
      </c>
      <c r="AY51" s="79"/>
      <c r="AZ51" s="79"/>
    </row>
    <row r="52" spans="1:52" ht="11.25" customHeight="1">
      <c r="A52" s="822" t="s">
        <v>204</v>
      </c>
      <c r="B52" s="822"/>
      <c r="C52" s="822"/>
      <c r="D52" s="822"/>
      <c r="E52" s="1338"/>
      <c r="F52" s="1338"/>
      <c r="G52" s="1338"/>
      <c r="H52" s="1338"/>
      <c r="I52" s="1340"/>
      <c r="J52" s="1340"/>
      <c r="K52" s="1339"/>
      <c r="L52" s="823"/>
      <c r="P52" s="1259"/>
      <c r="Q52" s="1259"/>
      <c r="R52" s="222"/>
      <c r="S52" s="1389"/>
      <c r="T52" s="1386"/>
      <c r="U52" s="179"/>
      <c r="V52" s="1067"/>
      <c r="W52" s="1071"/>
      <c r="X52" s="1067"/>
      <c r="Y52" s="1067"/>
      <c r="Z52" s="1067"/>
      <c r="AA52" s="1067"/>
      <c r="AB52" s="1133"/>
      <c r="AC52" s="1384"/>
      <c r="AD52" s="1383"/>
      <c r="AE52" s="1374"/>
      <c r="AF52" s="1133"/>
      <c r="AG52" s="1384"/>
      <c r="AH52" s="1383"/>
      <c r="AI52" s="1374"/>
      <c r="AJ52" s="1133"/>
      <c r="AK52" s="195"/>
      <c r="AL52" s="62"/>
      <c r="AM52" s="116" t="s">
        <v>1539</v>
      </c>
      <c r="AN52" s="1067"/>
      <c r="AO52" s="1071"/>
      <c r="AP52" s="1067"/>
      <c r="AQ52" s="1067"/>
      <c r="AR52" s="1067"/>
      <c r="AS52" s="1067"/>
      <c r="AT52" s="1072"/>
      <c r="AU52" s="1360"/>
      <c r="AW52" s="79"/>
      <c r="AX52" s="79"/>
      <c r="AY52" s="79"/>
      <c r="AZ52" s="79"/>
    </row>
    <row r="53" spans="1:52" ht="11.25" customHeight="1">
      <c r="A53" s="822" t="s">
        <v>204</v>
      </c>
      <c r="B53" s="822"/>
      <c r="C53" s="822"/>
      <c r="D53" s="822"/>
      <c r="E53" s="1338"/>
      <c r="F53" s="1338"/>
      <c r="G53" s="1338"/>
      <c r="H53" s="1338"/>
      <c r="I53" s="1340"/>
      <c r="J53" s="1340"/>
      <c r="K53" s="1339"/>
      <c r="L53" s="823"/>
      <c r="P53" s="1259"/>
      <c r="Q53" s="1259"/>
      <c r="R53" s="222"/>
      <c r="S53" s="1389"/>
      <c r="T53" s="1386"/>
      <c r="U53" s="179"/>
      <c r="V53" s="1067"/>
      <c r="W53" s="1071"/>
      <c r="X53" s="1067"/>
      <c r="Y53" s="1067"/>
      <c r="Z53" s="1067"/>
      <c r="AA53" s="1067"/>
      <c r="AB53" s="1133"/>
      <c r="AC53" s="1384"/>
      <c r="AD53" s="1383"/>
      <c r="AE53" s="1374"/>
      <c r="AF53" s="1133"/>
      <c r="AG53" s="177"/>
      <c r="AH53" s="116"/>
      <c r="AI53" s="116" t="s">
        <v>1540</v>
      </c>
      <c r="AJ53" s="1067"/>
      <c r="AK53" s="1067"/>
      <c r="AL53" s="1067"/>
      <c r="AM53" s="1067"/>
      <c r="AN53" s="1067"/>
      <c r="AO53" s="1071"/>
      <c r="AP53" s="1067"/>
      <c r="AQ53" s="1067"/>
      <c r="AR53" s="1067"/>
      <c r="AS53" s="1067"/>
      <c r="AT53" s="1072"/>
      <c r="AU53" s="1360"/>
      <c r="AW53" s="79"/>
      <c r="AX53" s="79"/>
      <c r="AY53" s="79"/>
      <c r="AZ53" s="79"/>
    </row>
    <row r="54" spans="1:52" ht="11.25" customHeight="1">
      <c r="A54" s="822" t="s">
        <v>204</v>
      </c>
      <c r="B54" s="822" t="s">
        <v>205</v>
      </c>
      <c r="C54" s="822" t="s">
        <v>206</v>
      </c>
      <c r="D54" s="822" t="s">
        <v>207</v>
      </c>
      <c r="E54" s="1338"/>
      <c r="F54" s="1338"/>
      <c r="G54" s="1338"/>
      <c r="H54" s="1338"/>
      <c r="I54" s="1340"/>
      <c r="J54" s="1340"/>
      <c r="K54" s="1339"/>
      <c r="L54" s="823"/>
      <c r="P54" s="1259"/>
      <c r="Q54" s="1259"/>
      <c r="R54" s="222"/>
      <c r="S54" s="1390"/>
      <c r="T54" s="1387"/>
      <c r="U54" s="179"/>
      <c r="V54" s="1067"/>
      <c r="W54" s="1068" t="str">
        <f>X51&amp;"-"&amp;Z51</f>
        <v>-</v>
      </c>
      <c r="X54" s="1067"/>
      <c r="Y54" s="1067"/>
      <c r="Z54" s="1067"/>
      <c r="AA54" s="1067"/>
      <c r="AB54" s="1133"/>
      <c r="AC54" s="191"/>
      <c r="AD54" s="193"/>
      <c r="AE54" s="116" t="s">
        <v>1541</v>
      </c>
      <c r="AF54" s="1067"/>
      <c r="AG54" s="1067"/>
      <c r="AH54" s="1067"/>
      <c r="AI54" s="1067"/>
      <c r="AJ54" s="1067"/>
      <c r="AK54" s="1067"/>
      <c r="AL54" s="1067"/>
      <c r="AM54" s="1067"/>
      <c r="AN54" s="1067"/>
      <c r="AO54" s="1068" t="str">
        <f>AP51&amp;"-"&amp;AR51</f>
        <v>-</v>
      </c>
      <c r="AP54" s="1067"/>
      <c r="AQ54" s="1067"/>
      <c r="AR54" s="1067"/>
      <c r="AS54" s="1067"/>
      <c r="AT54" s="1061"/>
      <c r="AU54" s="1360"/>
      <c r="AW54" s="79"/>
      <c r="AX54" s="79" t="str">
        <f t="shared" ref="AX54:AX62" si="3">IF(T54="","",T54)</f>
        <v/>
      </c>
      <c r="AY54" s="79"/>
      <c r="AZ54" s="79"/>
    </row>
    <row r="55" spans="1:52" ht="11.25" customHeight="1">
      <c r="A55" s="822" t="s">
        <v>204</v>
      </c>
      <c r="B55" s="822" t="s">
        <v>205</v>
      </c>
      <c r="C55" s="822" t="s">
        <v>206</v>
      </c>
      <c r="D55" s="822" t="s">
        <v>207</v>
      </c>
      <c r="E55" s="1338"/>
      <c r="F55" s="1338"/>
      <c r="G55" s="1338"/>
      <c r="H55" s="1338"/>
      <c r="I55" s="1340"/>
      <c r="J55" s="1339"/>
      <c r="K55" s="822"/>
      <c r="L55" s="823"/>
      <c r="P55" s="1259"/>
      <c r="Q55" s="1259"/>
      <c r="R55" s="221"/>
      <c r="S55" s="796"/>
      <c r="T55" s="174" t="s">
        <v>1542</v>
      </c>
      <c r="U55" s="228"/>
      <c r="V55" s="228"/>
      <c r="W55" s="228"/>
      <c r="X55" s="228"/>
      <c r="Y55" s="228"/>
      <c r="Z55" s="228"/>
      <c r="AA55" s="204"/>
      <c r="AB55" s="865"/>
      <c r="AC55" s="228"/>
      <c r="AD55" s="228"/>
      <c r="AE55" s="228"/>
      <c r="AF55" s="228"/>
      <c r="AG55" s="228"/>
      <c r="AH55" s="228"/>
      <c r="AI55" s="228"/>
      <c r="AJ55" s="228"/>
      <c r="AK55" s="228"/>
      <c r="AL55" s="228"/>
      <c r="AM55" s="228"/>
      <c r="AN55" s="228"/>
      <c r="AO55" s="228"/>
      <c r="AP55" s="228"/>
      <c r="AQ55" s="228"/>
      <c r="AR55" s="228"/>
      <c r="AS55" s="228"/>
      <c r="AT55" s="204"/>
      <c r="AU55" s="1361"/>
      <c r="AW55" s="79"/>
      <c r="AX55" s="79" t="str">
        <f t="shared" si="3"/>
        <v>Добавить строку</v>
      </c>
      <c r="AY55" s="79"/>
      <c r="AZ55" s="79"/>
    </row>
    <row r="56" spans="1:52" s="77" customFormat="1" ht="0" hidden="1" customHeight="1">
      <c r="A56" s="150" t="s">
        <v>204</v>
      </c>
      <c r="B56" s="150" t="s">
        <v>205</v>
      </c>
      <c r="C56" s="150" t="s">
        <v>206</v>
      </c>
      <c r="D56" s="150" t="s">
        <v>207</v>
      </c>
      <c r="E56" s="1338"/>
      <c r="F56" s="1338"/>
      <c r="G56" s="1338"/>
      <c r="H56" s="1338"/>
      <c r="I56" s="1339"/>
      <c r="J56" s="150"/>
      <c r="K56" s="150"/>
      <c r="L56" s="373"/>
      <c r="M56" s="235"/>
      <c r="N56" s="235"/>
      <c r="O56" s="235"/>
      <c r="P56" s="1259"/>
      <c r="Q56" s="127"/>
      <c r="R56" s="221"/>
      <c r="S56" s="834"/>
      <c r="T56" s="835" t="s">
        <v>1477</v>
      </c>
      <c r="U56" s="836"/>
      <c r="V56" s="836"/>
      <c r="W56" s="836"/>
      <c r="X56" s="836"/>
      <c r="Y56" s="836"/>
      <c r="Z56" s="836"/>
      <c r="AA56" s="836"/>
      <c r="AB56" s="836"/>
      <c r="AC56" s="836"/>
      <c r="AD56" s="836"/>
      <c r="AE56" s="836"/>
      <c r="AF56" s="836"/>
      <c r="AG56" s="836"/>
      <c r="AH56" s="836"/>
      <c r="AI56" s="836"/>
      <c r="AJ56" s="836"/>
      <c r="AK56" s="836"/>
      <c r="AL56" s="836"/>
      <c r="AM56" s="836"/>
      <c r="AN56" s="836"/>
      <c r="AO56" s="836"/>
      <c r="AP56" s="836"/>
      <c r="AQ56" s="836"/>
      <c r="AR56" s="836"/>
      <c r="AS56" s="836"/>
      <c r="AT56" s="836"/>
      <c r="AU56" s="837"/>
      <c r="AW56" s="79"/>
      <c r="AX56" s="79" t="str">
        <f t="shared" si="3"/>
        <v>Добавить группу потребителей</v>
      </c>
      <c r="AY56" s="79"/>
      <c r="AZ56" s="79"/>
    </row>
    <row r="57" spans="1:52" s="216" customFormat="1" ht="0" hidden="1" customHeight="1">
      <c r="A57" s="150" t="s">
        <v>204</v>
      </c>
      <c r="B57" s="150" t="s">
        <v>205</v>
      </c>
      <c r="C57" s="150" t="s">
        <v>206</v>
      </c>
      <c r="D57" s="150" t="s">
        <v>207</v>
      </c>
      <c r="E57" s="1338"/>
      <c r="F57" s="1338"/>
      <c r="G57" s="1338"/>
      <c r="H57" s="1337"/>
      <c r="I57" s="150"/>
      <c r="J57" s="150"/>
      <c r="K57" s="150"/>
      <c r="L57" s="373"/>
      <c r="M57" s="318"/>
      <c r="N57" s="318"/>
      <c r="O57" s="77"/>
      <c r="P57" s="111"/>
      <c r="Q57" s="811"/>
      <c r="R57" s="841"/>
      <c r="S57" s="834"/>
      <c r="T57" s="835"/>
      <c r="U57" s="836"/>
      <c r="V57" s="836"/>
      <c r="W57" s="836"/>
      <c r="X57" s="836"/>
      <c r="Y57" s="836"/>
      <c r="Z57" s="836"/>
      <c r="AA57" s="836"/>
      <c r="AB57" s="836"/>
      <c r="AC57" s="836"/>
      <c r="AD57" s="836"/>
      <c r="AE57" s="836"/>
      <c r="AF57" s="836"/>
      <c r="AG57" s="836"/>
      <c r="AH57" s="836"/>
      <c r="AI57" s="836"/>
      <c r="AJ57" s="836"/>
      <c r="AK57" s="836"/>
      <c r="AL57" s="836"/>
      <c r="AM57" s="836"/>
      <c r="AN57" s="836"/>
      <c r="AO57" s="836"/>
      <c r="AP57" s="836"/>
      <c r="AQ57" s="836"/>
      <c r="AR57" s="836"/>
      <c r="AS57" s="836"/>
      <c r="AT57" s="836"/>
      <c r="AU57" s="837"/>
      <c r="AV57" s="77"/>
      <c r="AW57" s="79"/>
      <c r="AX57" s="79" t="str">
        <f t="shared" si="3"/>
        <v/>
      </c>
      <c r="AY57" s="79"/>
      <c r="AZ57" s="79"/>
    </row>
    <row r="58" spans="1:52" s="77" customFormat="1" ht="0" hidden="1" customHeight="1">
      <c r="A58" s="150" t="s">
        <v>204</v>
      </c>
      <c r="B58" s="150" t="s">
        <v>205</v>
      </c>
      <c r="C58" s="150" t="s">
        <v>206</v>
      </c>
      <c r="D58" s="150"/>
      <c r="E58" s="1338"/>
      <c r="F58" s="1338"/>
      <c r="G58" s="1337"/>
      <c r="H58" s="150"/>
      <c r="I58" s="150"/>
      <c r="J58" s="150"/>
      <c r="K58" s="150"/>
      <c r="L58" s="373"/>
      <c r="M58" s="318"/>
      <c r="N58" s="318"/>
      <c r="P58" s="111"/>
      <c r="Q58" s="811"/>
      <c r="R58" s="111"/>
      <c r="S58" s="816"/>
      <c r="T58" s="818" t="s">
        <v>1437</v>
      </c>
      <c r="U58" s="338"/>
      <c r="V58" s="338"/>
      <c r="W58" s="338"/>
      <c r="X58" s="338"/>
      <c r="Y58" s="338"/>
      <c r="Z58" s="338"/>
      <c r="AA58" s="338"/>
      <c r="AB58" s="338"/>
      <c r="AC58" s="338"/>
      <c r="AD58" s="338"/>
      <c r="AE58" s="338"/>
      <c r="AF58" s="338"/>
      <c r="AG58" s="338"/>
      <c r="AH58" s="338"/>
      <c r="AI58" s="338"/>
      <c r="AJ58" s="338"/>
      <c r="AK58" s="338"/>
      <c r="AL58" s="338"/>
      <c r="AM58" s="338"/>
      <c r="AN58" s="338"/>
      <c r="AO58" s="338"/>
      <c r="AP58" s="338"/>
      <c r="AQ58" s="338"/>
      <c r="AR58" s="338"/>
      <c r="AS58" s="338"/>
      <c r="AT58" s="338"/>
      <c r="AU58" s="338"/>
      <c r="AW58" s="79"/>
      <c r="AX58" s="79" t="str">
        <f t="shared" si="3"/>
        <v>Добавить источник для дифференциации</v>
      </c>
      <c r="AY58" s="79"/>
      <c r="AZ58" s="79"/>
    </row>
    <row r="59" spans="1:52" s="77" customFormat="1" ht="0" hidden="1" customHeight="1">
      <c r="A59" s="150" t="s">
        <v>204</v>
      </c>
      <c r="B59" s="150" t="s">
        <v>205</v>
      </c>
      <c r="C59" s="150"/>
      <c r="D59" s="150"/>
      <c r="E59" s="1338"/>
      <c r="F59" s="1337"/>
      <c r="G59" s="150"/>
      <c r="H59" s="150"/>
      <c r="I59" s="150"/>
      <c r="J59" s="150"/>
      <c r="K59" s="150"/>
      <c r="L59" s="373"/>
      <c r="M59" s="815"/>
      <c r="N59" s="815"/>
      <c r="P59" s="111"/>
      <c r="Q59" s="811"/>
      <c r="R59" s="111"/>
      <c r="S59" s="816"/>
      <c r="T59" s="818" t="s">
        <v>1438</v>
      </c>
      <c r="U59" s="338"/>
      <c r="V59" s="338"/>
      <c r="W59" s="338"/>
      <c r="X59" s="338"/>
      <c r="Y59" s="338"/>
      <c r="Z59" s="338"/>
      <c r="AA59" s="338"/>
      <c r="AB59" s="338"/>
      <c r="AC59" s="338"/>
      <c r="AD59" s="338"/>
      <c r="AE59" s="338"/>
      <c r="AF59" s="338"/>
      <c r="AG59" s="338"/>
      <c r="AH59" s="338"/>
      <c r="AI59" s="338"/>
      <c r="AJ59" s="338"/>
      <c r="AK59" s="338"/>
      <c r="AL59" s="338"/>
      <c r="AM59" s="338"/>
      <c r="AN59" s="338"/>
      <c r="AO59" s="338"/>
      <c r="AP59" s="338"/>
      <c r="AQ59" s="338"/>
      <c r="AR59" s="338"/>
      <c r="AS59" s="338"/>
      <c r="AT59" s="338"/>
      <c r="AU59" s="338"/>
      <c r="AW59" s="79"/>
      <c r="AX59" s="79" t="str">
        <f t="shared" si="3"/>
        <v>Добавить централизованную систему для дифференциации</v>
      </c>
      <c r="AY59" s="79"/>
      <c r="AZ59" s="79"/>
    </row>
    <row r="60" spans="1:52" s="77" customFormat="1" ht="0" hidden="1" customHeight="1">
      <c r="A60" s="150" t="s">
        <v>204</v>
      </c>
      <c r="B60" s="150"/>
      <c r="C60" s="150"/>
      <c r="D60" s="150"/>
      <c r="E60" s="1338"/>
      <c r="F60" s="150"/>
      <c r="G60" s="150"/>
      <c r="H60" s="150"/>
      <c r="I60" s="150"/>
      <c r="J60" s="150"/>
      <c r="K60" s="150"/>
      <c r="L60" s="373"/>
      <c r="M60" s="815"/>
      <c r="N60" s="815"/>
      <c r="P60" s="111"/>
      <c r="Q60" s="811"/>
      <c r="R60" s="111"/>
      <c r="S60" s="816"/>
      <c r="T60" s="818" t="s">
        <v>1439</v>
      </c>
      <c r="U60" s="338"/>
      <c r="V60" s="338"/>
      <c r="W60" s="338"/>
      <c r="X60" s="338"/>
      <c r="Y60" s="338"/>
      <c r="Z60" s="338"/>
      <c r="AA60" s="338"/>
      <c r="AB60" s="338"/>
      <c r="AC60" s="338"/>
      <c r="AD60" s="338"/>
      <c r="AE60" s="338"/>
      <c r="AF60" s="338"/>
      <c r="AG60" s="338"/>
      <c r="AH60" s="338"/>
      <c r="AI60" s="338"/>
      <c r="AJ60" s="338"/>
      <c r="AK60" s="338"/>
      <c r="AL60" s="338"/>
      <c r="AM60" s="338"/>
      <c r="AN60" s="338"/>
      <c r="AO60" s="338"/>
      <c r="AP60" s="338"/>
      <c r="AQ60" s="338"/>
      <c r="AR60" s="338"/>
      <c r="AS60" s="338"/>
      <c r="AT60" s="338"/>
      <c r="AU60" s="338"/>
      <c r="AW60" s="79"/>
      <c r="AX60" s="79" t="str">
        <f t="shared" si="3"/>
        <v>Добавить территорию для дифференциации</v>
      </c>
      <c r="AY60" s="79"/>
      <c r="AZ60" s="79"/>
    </row>
    <row r="61" spans="1:52" s="77" customFormat="1" ht="0" hidden="1" customHeight="1">
      <c r="A61" s="150" t="s">
        <v>204</v>
      </c>
      <c r="B61" s="150"/>
      <c r="C61" s="150"/>
      <c r="D61" s="150"/>
      <c r="E61" s="1337"/>
      <c r="F61" s="150"/>
      <c r="G61" s="150"/>
      <c r="H61" s="150"/>
      <c r="I61" s="150"/>
      <c r="J61" s="150"/>
      <c r="K61" s="150"/>
      <c r="L61" s="373"/>
      <c r="M61" s="815"/>
      <c r="N61" s="815"/>
      <c r="P61" s="111"/>
      <c r="Q61" s="811"/>
      <c r="R61" s="111"/>
      <c r="S61" s="816"/>
      <c r="T61" s="818" t="s">
        <v>1439</v>
      </c>
      <c r="U61" s="338"/>
      <c r="V61" s="338"/>
      <c r="W61" s="338"/>
      <c r="X61" s="338"/>
      <c r="Y61" s="338"/>
      <c r="Z61" s="338"/>
      <c r="AA61" s="338"/>
      <c r="AB61" s="338"/>
      <c r="AC61" s="338"/>
      <c r="AD61" s="338"/>
      <c r="AE61" s="338"/>
      <c r="AF61" s="338"/>
      <c r="AG61" s="338"/>
      <c r="AH61" s="338"/>
      <c r="AI61" s="338"/>
      <c r="AJ61" s="338"/>
      <c r="AK61" s="338"/>
      <c r="AL61" s="338"/>
      <c r="AM61" s="338"/>
      <c r="AN61" s="338"/>
      <c r="AO61" s="338"/>
      <c r="AP61" s="338"/>
      <c r="AQ61" s="338"/>
      <c r="AR61" s="338"/>
      <c r="AS61" s="338"/>
      <c r="AT61" s="338"/>
      <c r="AU61" s="338"/>
      <c r="AW61" s="79"/>
      <c r="AX61" s="79" t="str">
        <f t="shared" si="3"/>
        <v>Добавить территорию для дифференциации</v>
      </c>
      <c r="AY61" s="79"/>
      <c r="AZ61" s="79"/>
    </row>
    <row r="62" spans="1:52" s="77" customFormat="1" ht="0" hidden="1" customHeight="1">
      <c r="A62" s="150"/>
      <c r="B62" s="150"/>
      <c r="C62" s="150"/>
      <c r="D62" s="150"/>
      <c r="E62" s="150"/>
      <c r="F62" s="150"/>
      <c r="G62" s="150"/>
      <c r="H62" s="150"/>
      <c r="I62" s="150"/>
      <c r="J62" s="150"/>
      <c r="K62" s="150"/>
      <c r="L62" s="373"/>
      <c r="M62" s="815"/>
      <c r="N62" s="815"/>
      <c r="P62" s="111"/>
      <c r="Q62" s="811"/>
      <c r="R62" s="111"/>
      <c r="S62" s="816"/>
      <c r="T62" s="818" t="s">
        <v>1440</v>
      </c>
      <c r="U62" s="338"/>
      <c r="V62" s="338"/>
      <c r="W62" s="338"/>
      <c r="X62" s="338"/>
      <c r="Y62" s="338"/>
      <c r="Z62" s="338"/>
      <c r="AA62" s="338"/>
      <c r="AB62" s="338"/>
      <c r="AC62" s="338"/>
      <c r="AD62" s="338"/>
      <c r="AE62" s="338"/>
      <c r="AF62" s="338"/>
      <c r="AG62" s="338"/>
      <c r="AH62" s="338"/>
      <c r="AI62" s="338"/>
      <c r="AJ62" s="338"/>
      <c r="AK62" s="338"/>
      <c r="AL62" s="338"/>
      <c r="AM62" s="338"/>
      <c r="AN62" s="338"/>
      <c r="AO62" s="338"/>
      <c r="AP62" s="338"/>
      <c r="AQ62" s="338"/>
      <c r="AR62" s="338"/>
      <c r="AS62" s="338"/>
      <c r="AT62" s="338"/>
      <c r="AU62" s="338"/>
      <c r="AW62" s="79"/>
      <c r="AX62" s="79" t="str">
        <f t="shared" si="3"/>
        <v>Добавить наименование тарифа</v>
      </c>
      <c r="AY62" s="79"/>
      <c r="AZ62" s="79"/>
    </row>
    <row r="63" spans="1:52" ht="11.25" hidden="1" customHeight="1">
      <c r="M63" s="72"/>
      <c r="N63" s="72"/>
      <c r="O63" s="72"/>
      <c r="P63" s="72"/>
      <c r="Q63" s="72"/>
      <c r="R63" s="24"/>
      <c r="S63" s="24"/>
      <c r="AV63" s="24"/>
      <c r="AW63" s="24"/>
      <c r="AX63" s="24"/>
      <c r="AY63" s="24"/>
      <c r="AZ63" s="24"/>
    </row>
    <row r="64" spans="1:52" ht="18.75" hidden="1" customHeight="1">
      <c r="O64" s="72"/>
      <c r="S64" s="210" t="s">
        <v>1510</v>
      </c>
      <c r="T64" s="1336" t="s">
        <v>1553</v>
      </c>
      <c r="U64" s="1336"/>
      <c r="V64" s="1336"/>
      <c r="W64" s="1336"/>
      <c r="X64" s="1336"/>
      <c r="Y64" s="1336"/>
      <c r="Z64" s="1336"/>
      <c r="AA64" s="1336"/>
      <c r="AB64" s="1336"/>
      <c r="AC64" s="1336"/>
      <c r="AD64" s="1336"/>
      <c r="AE64" s="1336"/>
      <c r="AF64" s="1336"/>
      <c r="AG64" s="1336"/>
      <c r="AH64" s="1336"/>
      <c r="AI64" s="1336"/>
      <c r="AJ64" s="1336"/>
      <c r="AK64" s="1336"/>
      <c r="AL64" s="1336"/>
      <c r="AM64" s="1336"/>
      <c r="AN64" s="1336"/>
      <c r="AO64" s="1336"/>
      <c r="AP64" s="1336"/>
      <c r="AQ64" s="1336"/>
      <c r="AR64" s="1336"/>
      <c r="AS64" s="1336"/>
      <c r="AT64" s="1336"/>
      <c r="AU64" s="1336"/>
    </row>
    <row r="65" spans="15:47" ht="19.5" hidden="1" customHeight="1">
      <c r="O65" s="72"/>
      <c r="T65" s="1336" t="s">
        <v>1536</v>
      </c>
      <c r="U65" s="1336"/>
      <c r="V65" s="1336"/>
      <c r="W65" s="1336"/>
      <c r="X65" s="1336"/>
      <c r="Y65" s="1336"/>
      <c r="Z65" s="1336"/>
      <c r="AA65" s="1336"/>
      <c r="AB65" s="1336"/>
      <c r="AC65" s="1336"/>
      <c r="AD65" s="1336"/>
      <c r="AE65" s="1336"/>
      <c r="AF65" s="1336"/>
      <c r="AG65" s="1336"/>
      <c r="AH65" s="1336"/>
      <c r="AI65" s="1336"/>
      <c r="AJ65" s="1336"/>
      <c r="AK65" s="1336"/>
      <c r="AL65" s="1336"/>
      <c r="AM65" s="1336"/>
      <c r="AN65" s="1336"/>
      <c r="AO65" s="1336"/>
      <c r="AP65" s="1336"/>
      <c r="AQ65" s="1336"/>
      <c r="AR65" s="1336"/>
      <c r="AS65" s="1336"/>
      <c r="AT65" s="1336"/>
      <c r="AU65" s="1336"/>
    </row>
    <row r="66" spans="15:47" ht="14.25" hidden="1" customHeight="1">
      <c r="O66" s="72"/>
      <c r="T66" s="399"/>
      <c r="U66" s="399"/>
      <c r="V66" s="399"/>
      <c r="W66" s="399"/>
      <c r="X66" s="399"/>
      <c r="Y66" s="399"/>
      <c r="Z66" s="399"/>
      <c r="AA66" s="399"/>
      <c r="AB66" s="399"/>
      <c r="AC66" s="399"/>
      <c r="AD66" s="399"/>
      <c r="AE66" s="399"/>
      <c r="AF66" s="399"/>
      <c r="AG66" s="399"/>
      <c r="AH66" s="399"/>
      <c r="AI66" s="399"/>
      <c r="AJ66" s="399"/>
      <c r="AK66" s="399"/>
      <c r="AL66" s="399"/>
      <c r="AM66" s="399"/>
      <c r="AN66" s="399"/>
      <c r="AO66" s="399"/>
      <c r="AP66" s="399"/>
      <c r="AQ66" s="399"/>
      <c r="AR66" s="399"/>
      <c r="AS66" s="399"/>
      <c r="AT66" s="399"/>
      <c r="AU66" s="399"/>
    </row>
    <row r="67" spans="15:47" ht="18.75" hidden="1" customHeight="1">
      <c r="O67" s="72"/>
      <c r="T67" s="1336" t="s">
        <v>1554</v>
      </c>
      <c r="U67" s="1336"/>
      <c r="V67" s="1336"/>
      <c r="W67" s="1336"/>
      <c r="X67" s="1336"/>
      <c r="Y67" s="1336"/>
      <c r="Z67" s="1336"/>
      <c r="AA67" s="1336"/>
      <c r="AB67" s="1336"/>
      <c r="AC67" s="1336"/>
      <c r="AD67" s="1336"/>
      <c r="AE67" s="1336"/>
      <c r="AF67" s="1336"/>
      <c r="AG67" s="1336"/>
      <c r="AH67" s="1336"/>
      <c r="AI67" s="1336"/>
      <c r="AJ67" s="1336"/>
      <c r="AK67" s="1336"/>
      <c r="AL67" s="1336"/>
      <c r="AM67" s="1336"/>
      <c r="AN67" s="1336"/>
      <c r="AO67" s="1336"/>
      <c r="AP67" s="1336"/>
      <c r="AQ67" s="1336"/>
      <c r="AR67" s="1336"/>
      <c r="AS67" s="1336"/>
      <c r="AT67" s="1336"/>
      <c r="AU67" s="1336"/>
    </row>
    <row r="68" spans="15:47" ht="15.75" hidden="1" customHeight="1">
      <c r="O68" s="72"/>
      <c r="T68" s="1336" t="s">
        <v>1536</v>
      </c>
      <c r="U68" s="1336"/>
      <c r="V68" s="1336"/>
      <c r="W68" s="1336"/>
      <c r="X68" s="1336"/>
      <c r="Y68" s="1336"/>
      <c r="Z68" s="1336"/>
      <c r="AA68" s="1336"/>
      <c r="AB68" s="1336"/>
      <c r="AC68" s="1336"/>
      <c r="AD68" s="1336"/>
      <c r="AE68" s="1336"/>
      <c r="AF68" s="1336"/>
      <c r="AG68" s="1336"/>
      <c r="AH68" s="1336"/>
      <c r="AI68" s="1336"/>
      <c r="AJ68" s="1336"/>
      <c r="AK68" s="1336"/>
      <c r="AL68" s="1336"/>
      <c r="AM68" s="1336"/>
      <c r="AN68" s="1336"/>
      <c r="AO68" s="1336"/>
      <c r="AP68" s="1336"/>
      <c r="AQ68" s="1336"/>
      <c r="AR68" s="1336"/>
      <c r="AS68" s="1336"/>
      <c r="AT68" s="1336"/>
      <c r="AU68" s="1336"/>
    </row>
    <row r="69" spans="15:47" ht="14.25" customHeight="1">
      <c r="O69" s="72"/>
    </row>
  </sheetData>
  <sheetProtection formatColumns="0" formatRows="0" insertRows="0" deleteColumns="0" deleteRows="0" sort="0" autoFilter="0"/>
  <mergeCells count="117">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N41:AO42"/>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600-000000000000}">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600-000001000000}"/>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600-000002000000}">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600-000003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600-000004000000}"/>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600-000005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600-000006000000}">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1F4A86-3D1E-6E1C-762F-02384FA09A0C}">
  <sheetPr>
    <tabColor theme="6" tint="0.39997558519241921"/>
  </sheetPr>
  <dimension ref="A1:AC40"/>
  <sheetViews>
    <sheetView showGridLines="0" topLeftCell="I4" workbookViewId="0"/>
  </sheetViews>
  <sheetFormatPr defaultColWidth="10.5703125" defaultRowHeight="14.25" customHeight="1"/>
  <cols>
    <col min="1" max="1" width="10.5703125" style="72" hidden="1"/>
    <col min="2" max="2" width="11" style="72" hidden="1" customWidth="1"/>
    <col min="3" max="3" width="10.5703125" style="72" hidden="1"/>
    <col min="4" max="4" width="11.85546875" style="72" hidden="1" customWidth="1"/>
    <col min="5" max="5" width="12.28515625" style="72" hidden="1" customWidth="1"/>
    <col min="6" max="8" width="12.28515625" style="541" hidden="1" customWidth="1"/>
    <col min="9" max="9" width="3.7109375" style="42" customWidth="1"/>
    <col min="10" max="11" width="3.7109375" style="37" customWidth="1"/>
    <col min="12" max="12" width="12.7109375" style="368" customWidth="1"/>
    <col min="13" max="13" width="32" style="24" customWidth="1"/>
    <col min="14" max="14" width="1.7109375" style="24" customWidth="1"/>
    <col min="15" max="18" width="24.7109375" style="24" customWidth="1"/>
    <col min="19" max="19" width="11.7109375" style="24" customWidth="1"/>
    <col min="20" max="20" width="3.7109375" style="24" customWidth="1"/>
    <col min="21" max="21" width="11.7109375" style="24" customWidth="1"/>
    <col min="22" max="22" width="8.5703125" style="24" customWidth="1"/>
    <col min="23" max="23" width="4.7109375" style="24" customWidth="1"/>
    <col min="24" max="24" width="115.7109375" style="24" customWidth="1"/>
    <col min="25" max="26" width="10.5703125" style="77"/>
    <col min="27" max="27" width="11.140625" style="77" customWidth="1"/>
    <col min="28" max="29" width="10.5703125" style="77"/>
  </cols>
  <sheetData>
    <row r="1" spans="1:29" ht="14.25" hidden="1" customHeight="1"/>
    <row r="2" spans="1:29" ht="14.25" hidden="1" customHeight="1"/>
    <row r="3" spans="1:29" ht="14.25" hidden="1" customHeight="1"/>
    <row r="4" spans="1:29" ht="14.25" customHeight="1">
      <c r="J4" s="36"/>
      <c r="K4" s="36"/>
      <c r="L4" s="793"/>
      <c r="M4" s="25"/>
      <c r="N4" s="25"/>
    </row>
    <row r="5" spans="1:29" ht="64.5" customHeight="1">
      <c r="J5" s="36"/>
      <c r="K5" s="36"/>
      <c r="L5" s="1181" t="s">
        <v>415</v>
      </c>
      <c r="M5" s="1181"/>
      <c r="N5" s="1181"/>
      <c r="O5" s="1181"/>
      <c r="P5" s="1181"/>
      <c r="Q5" s="1181"/>
      <c r="R5" s="1181"/>
      <c r="S5" s="1181"/>
      <c r="T5" s="1181"/>
      <c r="U5" s="1181"/>
      <c r="V5" s="69"/>
    </row>
    <row r="6" spans="1:29" ht="14.25" customHeight="1">
      <c r="J6" s="36"/>
      <c r="K6" s="36"/>
      <c r="L6" s="1204" t="str">
        <f>IF(org=0,"Не определено",org)</f>
        <v>ООО "ТЕПЛО ПЛЮС"</v>
      </c>
      <c r="M6" s="1204"/>
      <c r="N6" s="1204"/>
      <c r="O6" s="1204"/>
      <c r="P6" s="1204"/>
      <c r="Q6" s="1204"/>
      <c r="R6" s="1204"/>
      <c r="S6" s="1204"/>
      <c r="T6" s="1204"/>
      <c r="U6" s="1204"/>
      <c r="V6" s="69"/>
    </row>
    <row r="7" spans="1:29" ht="14.25" customHeight="1">
      <c r="J7" s="36"/>
      <c r="K7" s="36"/>
      <c r="L7" s="793"/>
      <c r="M7" s="25"/>
      <c r="N7" s="25"/>
      <c r="O7" s="202"/>
      <c r="P7" s="202"/>
      <c r="Q7" s="202"/>
      <c r="R7" s="202"/>
      <c r="S7" s="202"/>
      <c r="T7" s="202"/>
      <c r="U7" s="202"/>
      <c r="V7" s="202"/>
    </row>
    <row r="8" spans="1:29" s="44" customFormat="1" ht="45" customHeight="1">
      <c r="A8" s="91"/>
      <c r="B8" s="91"/>
      <c r="C8" s="91"/>
      <c r="D8" s="91"/>
      <c r="E8" s="91"/>
      <c r="F8" s="91"/>
      <c r="G8" s="91"/>
      <c r="H8" s="91"/>
      <c r="L8" s="794"/>
      <c r="M8" s="178" t="s">
        <v>39</v>
      </c>
      <c r="N8" s="183"/>
      <c r="O8" s="1330" t="str">
        <f>IF(TITLE_NAME_OR_PR_CHANGE="",IF(TITLE_NAME_OR_PR="","",TITLE_NAME_OR_PR),TITLE_NAME_OR_PR_CHANGE)</f>
        <v/>
      </c>
      <c r="P8" s="1330"/>
      <c r="Q8" s="1330"/>
      <c r="R8" s="1330"/>
      <c r="S8" s="1330"/>
      <c r="T8" s="1330"/>
      <c r="U8" s="1330"/>
      <c r="V8" s="24"/>
      <c r="W8" s="24"/>
      <c r="X8" s="171"/>
      <c r="Y8" s="79"/>
      <c r="Z8" s="79"/>
      <c r="AA8" s="79"/>
      <c r="AB8" s="79"/>
      <c r="AC8" s="79"/>
    </row>
    <row r="9" spans="1:29" s="44" customFormat="1" ht="22.5" customHeight="1">
      <c r="A9" s="91"/>
      <c r="B9" s="91"/>
      <c r="C9" s="91"/>
      <c r="D9" s="91"/>
      <c r="E9" s="91"/>
      <c r="F9" s="91"/>
      <c r="G9" s="91"/>
      <c r="H9" s="91"/>
      <c r="L9" s="794"/>
      <c r="M9" s="178" t="s">
        <v>1485</v>
      </c>
      <c r="N9" s="183"/>
      <c r="O9" s="1330" t="str">
        <f>IF(TITLE_DATE_CHANGE_PERIOD="",IF(TITLE_DATE_PR="","",TITLE_DATE_PR),TITLE_DATE_CHANGE_PERIOD)</f>
        <v/>
      </c>
      <c r="P9" s="1330"/>
      <c r="Q9" s="1330"/>
      <c r="R9" s="1330"/>
      <c r="S9" s="1330"/>
      <c r="T9" s="1330"/>
      <c r="U9" s="1330"/>
      <c r="V9" s="24"/>
      <c r="W9" s="24"/>
      <c r="X9" s="171"/>
      <c r="Y9" s="79"/>
      <c r="Z9" s="79"/>
      <c r="AA9" s="79"/>
      <c r="AB9" s="79"/>
      <c r="AC9" s="79"/>
    </row>
    <row r="10" spans="1:29" s="44" customFormat="1" ht="22.5" customHeight="1">
      <c r="A10" s="91"/>
      <c r="B10" s="91"/>
      <c r="C10" s="91"/>
      <c r="D10" s="91"/>
      <c r="E10" s="91"/>
      <c r="F10" s="91"/>
      <c r="G10" s="91"/>
      <c r="H10" s="91"/>
      <c r="L10" s="368"/>
      <c r="M10" s="178" t="s">
        <v>1486</v>
      </c>
      <c r="N10" s="183"/>
      <c r="O10" s="1330" t="str">
        <f>IF(TITLE_NUMBER_PR_CHANGE="",IF(TITLE_NUMBER_PR="","",TITLE_NUMBER_PR),TITLE_NUMBER_PR_CHANGE)</f>
        <v/>
      </c>
      <c r="P10" s="1330"/>
      <c r="Q10" s="1330"/>
      <c r="R10" s="1330"/>
      <c r="S10" s="1330"/>
      <c r="T10" s="1330"/>
      <c r="U10" s="1330"/>
      <c r="V10" s="24"/>
      <c r="W10" s="24"/>
      <c r="X10" s="171"/>
      <c r="Y10" s="79"/>
      <c r="Z10" s="79"/>
      <c r="AA10" s="79"/>
      <c r="AB10" s="79"/>
      <c r="AC10" s="79"/>
    </row>
    <row r="11" spans="1:29" s="44" customFormat="1" ht="22.5" customHeight="1">
      <c r="A11" s="91"/>
      <c r="B11" s="91"/>
      <c r="C11" s="91"/>
      <c r="D11" s="91"/>
      <c r="E11" s="91"/>
      <c r="F11" s="91"/>
      <c r="G11" s="91"/>
      <c r="H11" s="91"/>
      <c r="L11" s="368"/>
      <c r="M11" s="178" t="s">
        <v>40</v>
      </c>
      <c r="N11" s="183"/>
      <c r="O11" s="1330" t="str">
        <f>IF(TITLE_IST_PUB_CHANGE="",IF(TITLE_IST_PUB="","",TITLE_IST_PUB),TITLE_IST_PUB_CHANGE)</f>
        <v/>
      </c>
      <c r="P11" s="1330"/>
      <c r="Q11" s="1330"/>
      <c r="R11" s="1330"/>
      <c r="S11" s="1330"/>
      <c r="T11" s="1330"/>
      <c r="U11" s="1330"/>
      <c r="V11" s="24"/>
      <c r="W11" s="24"/>
      <c r="X11" s="171"/>
      <c r="Y11" s="79"/>
      <c r="Z11" s="79"/>
      <c r="AA11" s="79"/>
      <c r="AB11" s="79"/>
      <c r="AC11" s="79"/>
    </row>
    <row r="12" spans="1:29" s="44" customFormat="1" ht="11.25" hidden="1" customHeight="1">
      <c r="A12" s="91"/>
      <c r="B12" s="91"/>
      <c r="C12" s="91"/>
      <c r="D12" s="91"/>
      <c r="E12" s="91"/>
      <c r="F12" s="91"/>
      <c r="G12" s="91"/>
      <c r="H12" s="91"/>
      <c r="L12" s="1398"/>
      <c r="M12" s="1398"/>
      <c r="N12" s="87"/>
      <c r="O12" s="24"/>
      <c r="P12" s="24"/>
      <c r="Q12" s="24"/>
      <c r="R12" s="24"/>
      <c r="S12" s="24"/>
      <c r="T12" s="24"/>
      <c r="U12" s="24"/>
      <c r="V12" s="77" t="s">
        <v>1489</v>
      </c>
      <c r="Y12" s="79"/>
      <c r="Z12" s="79"/>
      <c r="AA12" s="79"/>
      <c r="AB12" s="79"/>
      <c r="AC12" s="79"/>
    </row>
    <row r="13" spans="1:29" ht="14.25" customHeight="1">
      <c r="J13" s="36"/>
      <c r="K13" s="36"/>
      <c r="L13" s="793"/>
      <c r="M13" s="25"/>
      <c r="N13" s="766"/>
      <c r="O13" s="1348"/>
      <c r="P13" s="1348"/>
      <c r="Q13" s="1348"/>
      <c r="R13" s="1348"/>
      <c r="S13" s="1348"/>
      <c r="T13" s="1348"/>
      <c r="U13" s="1348"/>
      <c r="V13" s="1348"/>
    </row>
    <row r="14" spans="1:29" ht="14.25" customHeight="1">
      <c r="J14" s="36"/>
      <c r="K14" s="36"/>
      <c r="L14" s="1123" t="s">
        <v>292</v>
      </c>
      <c r="M14" s="1123"/>
      <c r="N14" s="1123"/>
      <c r="O14" s="1123"/>
      <c r="P14" s="1123"/>
      <c r="Q14" s="1123"/>
      <c r="R14" s="1123"/>
      <c r="S14" s="1123"/>
      <c r="T14" s="1123"/>
      <c r="U14" s="1123"/>
      <c r="V14" s="1123"/>
      <c r="W14" s="1123"/>
      <c r="X14" s="1123" t="s">
        <v>293</v>
      </c>
    </row>
    <row r="15" spans="1:29" ht="14.25" customHeight="1">
      <c r="J15" s="36"/>
      <c r="K15" s="36"/>
      <c r="L15" s="1349" t="s">
        <v>88</v>
      </c>
      <c r="M15" s="1213" t="s">
        <v>1490</v>
      </c>
      <c r="N15" s="180"/>
      <c r="O15" s="1350" t="s">
        <v>1555</v>
      </c>
      <c r="P15" s="1351"/>
      <c r="Q15" s="1351"/>
      <c r="R15" s="1351"/>
      <c r="S15" s="1351"/>
      <c r="T15" s="1351"/>
      <c r="U15" s="1352"/>
      <c r="V15" s="1353" t="s">
        <v>1492</v>
      </c>
      <c r="W15" s="1356" t="s">
        <v>1556</v>
      </c>
      <c r="X15" s="1123"/>
    </row>
    <row r="16" spans="1:29" ht="33.75" customHeight="1">
      <c r="J16" s="36"/>
      <c r="K16" s="36"/>
      <c r="L16" s="1349"/>
      <c r="M16" s="1213"/>
      <c r="N16" s="647"/>
      <c r="O16" s="1182" t="s">
        <v>1495</v>
      </c>
      <c r="P16" s="1182" t="s">
        <v>1496</v>
      </c>
      <c r="Q16" s="1105" t="s">
        <v>1497</v>
      </c>
      <c r="R16" s="1104"/>
      <c r="S16" s="1105" t="s">
        <v>1516</v>
      </c>
      <c r="T16" s="1110"/>
      <c r="U16" s="1104"/>
      <c r="V16" s="1354"/>
      <c r="W16" s="1357"/>
      <c r="X16" s="1123"/>
    </row>
    <row r="17" spans="1:29" ht="33.75" customHeight="1">
      <c r="A17" s="91" t="s">
        <v>135</v>
      </c>
      <c r="B17" s="91" t="s">
        <v>136</v>
      </c>
      <c r="C17" s="91" t="s">
        <v>137</v>
      </c>
      <c r="D17" s="91" t="s">
        <v>138</v>
      </c>
      <c r="E17" s="91"/>
      <c r="J17" s="36"/>
      <c r="K17" s="36"/>
      <c r="L17" s="1349"/>
      <c r="M17" s="1213"/>
      <c r="N17" s="181"/>
      <c r="O17" s="1238"/>
      <c r="P17" s="1238"/>
      <c r="Q17" s="48" t="s">
        <v>1506</v>
      </c>
      <c r="R17" s="48" t="s">
        <v>1507</v>
      </c>
      <c r="S17" s="48" t="s">
        <v>1508</v>
      </c>
      <c r="T17" s="1219" t="s">
        <v>1509</v>
      </c>
      <c r="U17" s="1233"/>
      <c r="V17" s="1355"/>
      <c r="W17" s="1358"/>
      <c r="X17" s="1123"/>
    </row>
    <row r="18" spans="1:29" s="216" customFormat="1" ht="11.25" customHeight="1">
      <c r="A18" s="91"/>
      <c r="B18" s="91"/>
      <c r="C18" s="91"/>
      <c r="D18" s="91"/>
      <c r="E18" s="91"/>
      <c r="F18" s="541"/>
      <c r="G18" s="541"/>
      <c r="H18" s="541"/>
      <c r="I18" s="768"/>
      <c r="J18" s="769"/>
      <c r="K18" s="777">
        <v>1</v>
      </c>
      <c r="L18" s="795" t="s">
        <v>109</v>
      </c>
      <c r="M18" s="778" t="s">
        <v>110</v>
      </c>
      <c r="N18" s="767" t="str">
        <f ca="1">OFFSET(N18,0,-1)</f>
        <v>2</v>
      </c>
      <c r="O18" s="779">
        <f ca="1">OFFSET(O18,0,-1)+1</f>
        <v>3</v>
      </c>
      <c r="P18" s="779"/>
      <c r="Q18" s="779">
        <f ca="1">OFFSET(Q18,0,-1)+1</f>
        <v>1</v>
      </c>
      <c r="R18" s="779">
        <f ca="1">OFFSET(R18,0,-1)+1</f>
        <v>2</v>
      </c>
      <c r="S18" s="779">
        <f ca="1">OFFSET(S18,0,-1)+1</f>
        <v>3</v>
      </c>
      <c r="T18" s="1347">
        <f ca="1">OFFSET(T18,0,-1)+1</f>
        <v>4</v>
      </c>
      <c r="U18" s="1347"/>
      <c r="V18" s="779">
        <f ca="1">OFFSET(V18,0,-2)+1</f>
        <v>5</v>
      </c>
      <c r="W18" s="767">
        <f ca="1">OFFSET(W18,0,-1)</f>
        <v>5</v>
      </c>
      <c r="X18" s="779">
        <f ca="1">OFFSET(X18,0,-1)+1</f>
        <v>6</v>
      </c>
      <c r="Y18" s="77"/>
      <c r="Z18" s="77"/>
      <c r="AA18" s="77"/>
      <c r="AB18" s="77"/>
      <c r="AC18" s="77"/>
    </row>
    <row r="19" spans="1:29" ht="21" customHeight="1">
      <c r="A19" s="822" t="s">
        <v>171</v>
      </c>
      <c r="B19" s="822" t="s">
        <v>172</v>
      </c>
      <c r="C19" s="822" t="s">
        <v>173</v>
      </c>
      <c r="D19" s="822" t="s">
        <v>174</v>
      </c>
      <c r="E19" s="822"/>
      <c r="F19" s="452"/>
      <c r="G19" s="452"/>
      <c r="H19" s="452"/>
      <c r="J19" s="43"/>
      <c r="K19" s="220"/>
      <c r="L19" s="755">
        <f>INDEX(PT_DIFFERENTIATION_NUM_NTAR,MATCH(A19,PT_DIFFERENTIATION_NTAR_ID,0))</f>
        <v>0</v>
      </c>
      <c r="M19" s="76" t="s">
        <v>124</v>
      </c>
      <c r="N19" s="179"/>
      <c r="O19" s="1393" t="str">
        <f>INDEX(PT_DIFFERENTIATION_NTAR,MATCH(A19,PT_DIFFERENTIATION_NTAR_ID,0))</f>
        <v/>
      </c>
      <c r="P19" s="1393"/>
      <c r="Q19" s="1393"/>
      <c r="R19" s="1393"/>
      <c r="S19" s="1393"/>
      <c r="T19" s="1393"/>
      <c r="U19" s="1393"/>
      <c r="V19" s="1393"/>
      <c r="W19" s="1393"/>
      <c r="X19" s="782" t="s">
        <v>1461</v>
      </c>
      <c r="Z19" s="79"/>
      <c r="AA19" s="79" t="str">
        <f t="shared" ref="AA19:AA32" si="0">IF(M19="","",M19)</f>
        <v>Наименование тарифа</v>
      </c>
      <c r="AB19" s="79"/>
      <c r="AC19" s="79"/>
    </row>
    <row r="20" spans="1:29" ht="21" customHeight="1">
      <c r="A20" s="822" t="s">
        <v>171</v>
      </c>
      <c r="B20" s="822" t="s">
        <v>172</v>
      </c>
      <c r="C20" s="822" t="s">
        <v>173</v>
      </c>
      <c r="D20" s="822" t="s">
        <v>174</v>
      </c>
      <c r="E20" s="822"/>
      <c r="F20" s="452"/>
      <c r="G20" s="452"/>
      <c r="H20" s="452"/>
      <c r="I20" s="68"/>
      <c r="J20" s="217"/>
      <c r="K20" s="218"/>
      <c r="L20" s="755" t="str">
        <f>INDEX(PT_DIFFERENTIATION_NUM_TER,MATCH(B19,PT_DIFFERENTIATION_TER_ID,0))</f>
        <v>.</v>
      </c>
      <c r="M20" s="187" t="s">
        <v>1462</v>
      </c>
      <c r="N20" s="179"/>
      <c r="O20" s="1393" t="str">
        <f>INDEX(PT_DIFFERENTIATION_TER,MATCH(B19,PT_DIFFERENTIATION_TER_ID,0))</f>
        <v/>
      </c>
      <c r="P20" s="1393"/>
      <c r="Q20" s="1393"/>
      <c r="R20" s="1393"/>
      <c r="S20" s="1393"/>
      <c r="T20" s="1393"/>
      <c r="U20" s="1393"/>
      <c r="V20" s="1393"/>
      <c r="W20" s="1393"/>
      <c r="X20" s="782" t="s">
        <v>1463</v>
      </c>
      <c r="Z20" s="79"/>
      <c r="AA20" s="79" t="str">
        <f t="shared" si="0"/>
        <v>Территория действия тарифа</v>
      </c>
      <c r="AB20" s="79"/>
      <c r="AC20" s="79"/>
    </row>
    <row r="21" spans="1:29" ht="22.5" customHeight="1">
      <c r="A21" s="822" t="s">
        <v>171</v>
      </c>
      <c r="B21" s="822" t="s">
        <v>172</v>
      </c>
      <c r="C21" s="822" t="s">
        <v>173</v>
      </c>
      <c r="D21" s="822" t="s">
        <v>174</v>
      </c>
      <c r="E21" s="822"/>
      <c r="F21" s="452"/>
      <c r="G21" s="452"/>
      <c r="H21" s="452"/>
      <c r="I21" s="219"/>
      <c r="J21" s="217"/>
      <c r="K21" s="218"/>
      <c r="L21" s="755" t="str">
        <f>INDEX(PT_DIFFERENTIATION_NUM_CS,MATCH(C19,PT_DIFFERENTIATION_CS_ID,0))</f>
        <v>..</v>
      </c>
      <c r="M21" s="188" t="s">
        <v>1464</v>
      </c>
      <c r="N21" s="179"/>
      <c r="O21" s="1393" t="str">
        <f>INDEX(PT_DIFFERENTIATION_CS,MATCH(C19,PT_DIFFERENTIATION_CS_ID,0))</f>
        <v/>
      </c>
      <c r="P21" s="1393"/>
      <c r="Q21" s="1393"/>
      <c r="R21" s="1393"/>
      <c r="S21" s="1393"/>
      <c r="T21" s="1393"/>
      <c r="U21" s="1393"/>
      <c r="V21" s="1393"/>
      <c r="W21" s="1393"/>
      <c r="X21" s="782" t="s">
        <v>1465</v>
      </c>
      <c r="Z21" s="79"/>
      <c r="AA21" s="79" t="str">
        <f t="shared" si="0"/>
        <v xml:space="preserve">Наименование системы теплоснабжения </v>
      </c>
      <c r="AB21" s="79"/>
      <c r="AC21" s="79"/>
    </row>
    <row r="22" spans="1:29" ht="21" customHeight="1">
      <c r="A22" s="822" t="s">
        <v>171</v>
      </c>
      <c r="B22" s="822" t="s">
        <v>172</v>
      </c>
      <c r="C22" s="822" t="s">
        <v>173</v>
      </c>
      <c r="D22" s="822" t="s">
        <v>174</v>
      </c>
      <c r="E22" s="822"/>
      <c r="F22" s="452"/>
      <c r="G22" s="452"/>
      <c r="H22" s="452"/>
      <c r="I22" s="219"/>
      <c r="J22" s="217"/>
      <c r="K22" s="218"/>
      <c r="L22" s="755" t="str">
        <f>INDEX(PT_DIFFERENTIATION_NUM_IST_TE,MATCH(D19,PT_DIFFERENTIATION_IST_TE_ID,0))</f>
        <v>...</v>
      </c>
      <c r="M22" s="189" t="s">
        <v>1466</v>
      </c>
      <c r="N22" s="179"/>
      <c r="O22" s="1393" t="str">
        <f>INDEX(PT_DIFFERENTIATION_IST_TE,MATCH(D19,PT_DIFFERENTIATION_IST_TE_ID,0))</f>
        <v/>
      </c>
      <c r="P22" s="1393"/>
      <c r="Q22" s="1393"/>
      <c r="R22" s="1393"/>
      <c r="S22" s="1393"/>
      <c r="T22" s="1393"/>
      <c r="U22" s="1393"/>
      <c r="V22" s="1393"/>
      <c r="W22" s="1393"/>
      <c r="X22" s="782" t="s">
        <v>1467</v>
      </c>
      <c r="Z22" s="79"/>
      <c r="AA22" s="79" t="str">
        <f t="shared" si="0"/>
        <v xml:space="preserve">Источник тепловой энергии  </v>
      </c>
      <c r="AB22" s="79"/>
      <c r="AC22" s="79"/>
    </row>
    <row r="23" spans="1:29" ht="94.5" customHeight="1">
      <c r="A23" s="822" t="s">
        <v>171</v>
      </c>
      <c r="B23" s="822" t="s">
        <v>172</v>
      </c>
      <c r="C23" s="822" t="s">
        <v>173</v>
      </c>
      <c r="D23" s="822" t="s">
        <v>174</v>
      </c>
      <c r="E23" s="822"/>
      <c r="F23" s="1231" t="str">
        <f>L22&amp;".1"</f>
        <v>....1</v>
      </c>
      <c r="I23" s="1259">
        <v>1</v>
      </c>
      <c r="J23" s="127"/>
      <c r="K23" s="221"/>
      <c r="L23" s="755" t="str">
        <f>$F$23</f>
        <v>....1</v>
      </c>
      <c r="M23" s="172" t="s">
        <v>1469</v>
      </c>
      <c r="N23" s="179"/>
      <c r="O23" s="1394"/>
      <c r="P23" s="1394"/>
      <c r="Q23" s="1394"/>
      <c r="R23" s="1394"/>
      <c r="S23" s="1394"/>
      <c r="T23" s="1394"/>
      <c r="U23" s="1394"/>
      <c r="V23" s="1394"/>
      <c r="W23" s="1394"/>
      <c r="X23" s="782" t="s">
        <v>1470</v>
      </c>
      <c r="Z23" s="79"/>
      <c r="AA23" s="79" t="str">
        <f t="shared" si="0"/>
        <v>Схема подключения теплопотребляющей установки к коллектору источника тепловой энергии</v>
      </c>
      <c r="AB23" s="79"/>
      <c r="AC23" s="79"/>
    </row>
    <row r="24" spans="1:29" ht="84" customHeight="1">
      <c r="A24" s="822" t="s">
        <v>171</v>
      </c>
      <c r="B24" s="822" t="s">
        <v>172</v>
      </c>
      <c r="C24" s="822" t="s">
        <v>173</v>
      </c>
      <c r="D24" s="822" t="s">
        <v>174</v>
      </c>
      <c r="E24" s="822"/>
      <c r="F24" s="1231"/>
      <c r="G24" s="1231" t="str">
        <f>F23&amp;".1"</f>
        <v>....1.1</v>
      </c>
      <c r="I24" s="1259"/>
      <c r="J24" s="1259">
        <v>1</v>
      </c>
      <c r="K24" s="222"/>
      <c r="L24" s="755" t="str">
        <f>$G$24</f>
        <v>....1.1</v>
      </c>
      <c r="M24" s="173" t="s">
        <v>1472</v>
      </c>
      <c r="N24" s="179"/>
      <c r="O24" s="1395"/>
      <c r="P24" s="1396"/>
      <c r="Q24" s="1396"/>
      <c r="R24" s="1396"/>
      <c r="S24" s="1396"/>
      <c r="T24" s="1396"/>
      <c r="U24" s="1396"/>
      <c r="V24" s="1396"/>
      <c r="W24" s="1397"/>
      <c r="X24" s="782" t="s">
        <v>1473</v>
      </c>
      <c r="Z24" s="79"/>
      <c r="AA24" s="79" t="str">
        <f t="shared" si="0"/>
        <v>Группа потребителей</v>
      </c>
      <c r="AB24" s="79"/>
      <c r="AC24" s="79"/>
    </row>
    <row r="25" spans="1:29" ht="11.25" customHeight="1">
      <c r="A25" s="822" t="s">
        <v>171</v>
      </c>
      <c r="B25" s="822" t="s">
        <v>172</v>
      </c>
      <c r="C25" s="822" t="s">
        <v>173</v>
      </c>
      <c r="D25" s="822" t="s">
        <v>174</v>
      </c>
      <c r="E25" s="822"/>
      <c r="F25" s="1231"/>
      <c r="G25" s="1231"/>
      <c r="H25" s="1231" t="str">
        <f>G24&amp;".1"</f>
        <v>....1.1.1</v>
      </c>
      <c r="I25" s="1259"/>
      <c r="J25" s="1259"/>
      <c r="K25" s="222">
        <v>1</v>
      </c>
      <c r="L25" s="755" t="str">
        <f>$H$25</f>
        <v>....1.1.1</v>
      </c>
      <c r="M25" s="783"/>
      <c r="N25" s="179"/>
      <c r="O25" s="1054"/>
      <c r="P25" s="1055"/>
      <c r="Q25" s="1054"/>
      <c r="R25" s="1056"/>
      <c r="S25" s="1341"/>
      <c r="T25" s="1133" t="s">
        <v>67</v>
      </c>
      <c r="U25" s="1341"/>
      <c r="V25" s="1133" t="s">
        <v>57</v>
      </c>
      <c r="W25" s="1055"/>
      <c r="X25" s="1359" t="s">
        <v>1475</v>
      </c>
      <c r="Y25" s="77" t="e">
        <f ca="1">STRCHECKDATE(O26:W26)</f>
        <v>#NAME?</v>
      </c>
      <c r="Z25" s="79"/>
      <c r="AA25" s="79" t="str">
        <f t="shared" si="0"/>
        <v/>
      </c>
      <c r="AB25" s="79"/>
      <c r="AC25" s="79"/>
    </row>
    <row r="26" spans="1:29" ht="11.25" customHeight="1">
      <c r="A26" s="822" t="s">
        <v>171</v>
      </c>
      <c r="B26" s="822" t="s">
        <v>172</v>
      </c>
      <c r="C26" s="822" t="s">
        <v>173</v>
      </c>
      <c r="D26" s="822" t="s">
        <v>174</v>
      </c>
      <c r="E26" s="822"/>
      <c r="F26" s="1231"/>
      <c r="G26" s="1231"/>
      <c r="H26" s="1231"/>
      <c r="I26" s="1259"/>
      <c r="J26" s="1259"/>
      <c r="K26" s="222"/>
      <c r="L26" s="74"/>
      <c r="M26" s="179"/>
      <c r="N26" s="179"/>
      <c r="O26" s="1055"/>
      <c r="P26" s="1055"/>
      <c r="Q26" s="1055"/>
      <c r="R26" s="1057" t="str">
        <f>S25&amp;"-"&amp;U25</f>
        <v>-</v>
      </c>
      <c r="S26" s="1342"/>
      <c r="T26" s="1133"/>
      <c r="U26" s="1342"/>
      <c r="V26" s="1133"/>
      <c r="W26" s="1055"/>
      <c r="X26" s="1360"/>
      <c r="Z26" s="79"/>
      <c r="AA26" s="79" t="str">
        <f t="shared" si="0"/>
        <v/>
      </c>
      <c r="AB26" s="79"/>
      <c r="AC26" s="79"/>
    </row>
    <row r="27" spans="1:29" ht="15" customHeight="1">
      <c r="A27" s="822" t="s">
        <v>171</v>
      </c>
      <c r="B27" s="822" t="s">
        <v>172</v>
      </c>
      <c r="C27" s="822" t="s">
        <v>173</v>
      </c>
      <c r="D27" s="822" t="s">
        <v>174</v>
      </c>
      <c r="E27" s="822"/>
      <c r="F27" s="1231"/>
      <c r="G27" s="1231"/>
      <c r="I27" s="1259"/>
      <c r="J27" s="1259"/>
      <c r="K27" s="221"/>
      <c r="L27" s="796"/>
      <c r="M27" s="175" t="s">
        <v>1476</v>
      </c>
      <c r="N27" s="228"/>
      <c r="O27" s="228"/>
      <c r="P27" s="228"/>
      <c r="Q27" s="228"/>
      <c r="R27" s="228"/>
      <c r="S27" s="228"/>
      <c r="T27" s="228"/>
      <c r="U27" s="228"/>
      <c r="V27" s="228"/>
      <c r="W27" s="204"/>
      <c r="X27" s="1361"/>
      <c r="Z27" s="79"/>
      <c r="AA27" s="79" t="str">
        <f t="shared" si="0"/>
        <v>Добавить вид теплоносителя (параметры теплоносителя)</v>
      </c>
      <c r="AB27" s="79"/>
      <c r="AC27" s="79"/>
    </row>
    <row r="28" spans="1:29" ht="15" customHeight="1">
      <c r="A28" s="822" t="s">
        <v>171</v>
      </c>
      <c r="B28" s="822" t="s">
        <v>172</v>
      </c>
      <c r="C28" s="822" t="s">
        <v>173</v>
      </c>
      <c r="D28" s="822" t="s">
        <v>174</v>
      </c>
      <c r="E28" s="822"/>
      <c r="F28" s="1231"/>
      <c r="I28" s="1259"/>
      <c r="J28" s="127"/>
      <c r="K28" s="221"/>
      <c r="L28" s="796"/>
      <c r="M28" s="174" t="s">
        <v>1477</v>
      </c>
      <c r="N28" s="228"/>
      <c r="O28" s="228"/>
      <c r="P28" s="228"/>
      <c r="Q28" s="228"/>
      <c r="R28" s="228"/>
      <c r="S28" s="228"/>
      <c r="T28" s="228"/>
      <c r="U28" s="228"/>
      <c r="V28" s="205"/>
      <c r="W28" s="228"/>
      <c r="X28" s="182"/>
      <c r="Z28" s="79"/>
      <c r="AA28" s="79" t="str">
        <f t="shared" si="0"/>
        <v>Добавить группу потребителей</v>
      </c>
      <c r="AB28" s="79"/>
      <c r="AC28" s="79"/>
    </row>
    <row r="29" spans="1:29" ht="14.25" customHeight="1">
      <c r="A29" s="822" t="s">
        <v>171</v>
      </c>
      <c r="B29" s="822" t="s">
        <v>172</v>
      </c>
      <c r="C29" s="822" t="s">
        <v>173</v>
      </c>
      <c r="D29" s="822" t="s">
        <v>174</v>
      </c>
      <c r="E29" s="822"/>
      <c r="F29" s="452"/>
      <c r="G29" s="452"/>
      <c r="H29" s="72"/>
      <c r="I29" s="43"/>
      <c r="J29" s="231"/>
      <c r="K29" s="220"/>
      <c r="L29" s="796"/>
      <c r="M29" s="226" t="s">
        <v>1478</v>
      </c>
      <c r="N29" s="228"/>
      <c r="O29" s="228"/>
      <c r="P29" s="228"/>
      <c r="Q29" s="228"/>
      <c r="R29" s="228"/>
      <c r="S29" s="228"/>
      <c r="T29" s="228"/>
      <c r="U29" s="228"/>
      <c r="V29" s="205"/>
      <c r="W29" s="228"/>
      <c r="X29" s="182"/>
      <c r="Z29" s="79"/>
      <c r="AA29" s="79" t="str">
        <f t="shared" si="0"/>
        <v>Добавить схему подключения</v>
      </c>
      <c r="AB29" s="79"/>
      <c r="AC29" s="79"/>
    </row>
    <row r="30" spans="1:29" ht="14.25" customHeight="1">
      <c r="A30" s="822" t="s">
        <v>171</v>
      </c>
      <c r="B30" s="822" t="s">
        <v>172</v>
      </c>
      <c r="C30" s="822" t="s">
        <v>173</v>
      </c>
      <c r="D30" s="822"/>
      <c r="E30" s="822" t="s">
        <v>1557</v>
      </c>
      <c r="F30" s="452"/>
      <c r="G30" s="452"/>
      <c r="H30" s="72"/>
      <c r="I30" s="43"/>
      <c r="J30" s="231"/>
      <c r="K30" s="220"/>
      <c r="L30" s="797"/>
      <c r="M30" s="786"/>
      <c r="N30" s="787"/>
      <c r="O30" s="787"/>
      <c r="P30" s="787"/>
      <c r="Q30" s="787"/>
      <c r="R30" s="787"/>
      <c r="S30" s="787"/>
      <c r="T30" s="787"/>
      <c r="U30" s="787"/>
      <c r="V30" s="788"/>
      <c r="W30" s="787"/>
      <c r="X30" s="789"/>
      <c r="Z30" s="79"/>
      <c r="AA30" s="79" t="str">
        <f t="shared" si="0"/>
        <v/>
      </c>
      <c r="AB30" s="79"/>
      <c r="AC30" s="79"/>
    </row>
    <row r="31" spans="1:29" ht="14.25" customHeight="1">
      <c r="A31" s="822" t="s">
        <v>171</v>
      </c>
      <c r="B31" s="822" t="s">
        <v>172</v>
      </c>
      <c r="C31" s="822"/>
      <c r="D31" s="822"/>
      <c r="E31" s="822" t="s">
        <v>1558</v>
      </c>
      <c r="F31" s="868"/>
      <c r="G31" s="868"/>
      <c r="H31" s="72"/>
      <c r="I31" s="56"/>
      <c r="J31" s="231"/>
      <c r="K31" s="223"/>
      <c r="L31" s="797"/>
      <c r="M31" s="790"/>
      <c r="N31" s="787"/>
      <c r="O31" s="787"/>
      <c r="P31" s="787"/>
      <c r="Q31" s="787"/>
      <c r="R31" s="787"/>
      <c r="S31" s="787"/>
      <c r="T31" s="787"/>
      <c r="U31" s="787"/>
      <c r="V31" s="788"/>
      <c r="W31" s="787"/>
      <c r="X31" s="789"/>
      <c r="Z31" s="79"/>
      <c r="AA31" s="79" t="str">
        <f t="shared" si="0"/>
        <v/>
      </c>
      <c r="AB31" s="79"/>
      <c r="AC31" s="79"/>
    </row>
    <row r="32" spans="1:29" ht="14.25" customHeight="1">
      <c r="A32" s="822" t="s">
        <v>1559</v>
      </c>
      <c r="B32" s="822"/>
      <c r="C32" s="822"/>
      <c r="D32" s="822"/>
      <c r="E32" s="822" t="s">
        <v>104</v>
      </c>
      <c r="F32" s="868"/>
      <c r="G32" s="868"/>
      <c r="H32" s="72"/>
      <c r="I32" s="43"/>
      <c r="J32" s="231"/>
      <c r="K32" s="220"/>
      <c r="L32" s="797"/>
      <c r="M32" s="791"/>
      <c r="N32" s="787"/>
      <c r="O32" s="787"/>
      <c r="P32" s="787"/>
      <c r="Q32" s="787"/>
      <c r="R32" s="787"/>
      <c r="S32" s="787"/>
      <c r="T32" s="787"/>
      <c r="U32" s="787"/>
      <c r="V32" s="788"/>
      <c r="W32" s="787"/>
      <c r="X32" s="789"/>
      <c r="Z32" s="79"/>
      <c r="AA32" s="79" t="str">
        <f t="shared" si="0"/>
        <v/>
      </c>
      <c r="AB32" s="79"/>
      <c r="AC32" s="79"/>
    </row>
    <row r="33" spans="1:29" ht="11.25" customHeight="1">
      <c r="A33" s="822"/>
      <c r="B33" s="822"/>
      <c r="C33" s="822"/>
      <c r="D33" s="822"/>
      <c r="E33" s="822" t="s">
        <v>1440</v>
      </c>
      <c r="F33" s="868"/>
      <c r="G33" s="872"/>
      <c r="H33" s="72"/>
      <c r="I33"/>
      <c r="J33"/>
      <c r="K33"/>
      <c r="L33" s="798"/>
      <c r="M33" s="792"/>
      <c r="N33" s="787"/>
      <c r="O33" s="787"/>
      <c r="P33" s="787"/>
      <c r="Q33" s="787"/>
      <c r="R33" s="787"/>
      <c r="S33" s="787"/>
      <c r="T33" s="787"/>
      <c r="U33" s="787"/>
      <c r="V33" s="788"/>
      <c r="W33" s="787"/>
      <c r="X33" s="789"/>
      <c r="Y33" s="111"/>
      <c r="Z33" s="111"/>
      <c r="AA33" s="111"/>
      <c r="AB33" s="111"/>
      <c r="AC33" s="111"/>
    </row>
    <row r="34" spans="1:29" ht="11.25" customHeight="1">
      <c r="F34" s="72"/>
      <c r="G34" s="72"/>
      <c r="H34" s="72"/>
      <c r="I34" s="24"/>
      <c r="J34" s="24"/>
      <c r="K34" s="24"/>
      <c r="Y34" s="24"/>
      <c r="Z34" s="24"/>
      <c r="AA34" s="24"/>
      <c r="AB34" s="24"/>
      <c r="AC34" s="24"/>
    </row>
    <row r="35" spans="1:29" ht="27" customHeight="1">
      <c r="H35" s="72"/>
      <c r="L35" s="399" t="s">
        <v>1510</v>
      </c>
      <c r="M35" s="1336" t="s">
        <v>1517</v>
      </c>
      <c r="N35" s="1336"/>
      <c r="O35" s="1336"/>
      <c r="P35" s="1336"/>
      <c r="Q35" s="1336"/>
      <c r="R35" s="1336"/>
      <c r="S35" s="1336"/>
      <c r="T35" s="1336"/>
      <c r="U35" s="1336"/>
      <c r="V35" s="1336"/>
      <c r="W35" s="1336"/>
      <c r="X35" s="1336"/>
    </row>
    <row r="36" spans="1:29" ht="104.25" customHeight="1">
      <c r="H36" s="72"/>
      <c r="M36" s="1336" t="s">
        <v>1512</v>
      </c>
      <c r="N36" s="1336"/>
      <c r="O36" s="1336"/>
      <c r="P36" s="1336"/>
      <c r="Q36" s="1336"/>
      <c r="R36" s="1336"/>
      <c r="S36" s="1336"/>
      <c r="T36" s="1336"/>
      <c r="U36" s="1336"/>
      <c r="V36" s="1336"/>
      <c r="W36" s="1336"/>
      <c r="X36" s="1336"/>
    </row>
    <row r="37" spans="1:29" ht="14.25" customHeight="1">
      <c r="H37" s="72"/>
    </row>
    <row r="38" spans="1:29" ht="14.25" customHeight="1">
      <c r="H38" s="72"/>
    </row>
    <row r="39" spans="1:29" ht="14.25" customHeight="1">
      <c r="H39" s="72"/>
    </row>
    <row r="40" spans="1:29" ht="14.25" customHeight="1">
      <c r="H40" s="72"/>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1700-000000000000}"/>
    <dataValidation allowBlank="1" promptTitle="checkPeriodRange" sqref="R26 R65562 R131098 R196634 R262170 R327706 R393242 R458778 R524314 R589850 R655386 R720922 R786458 R851994 R917530 R983066" xr:uid="{00000000-0002-0000-17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17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1700-000004000000}">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1700-000005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1700-000006000000}">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17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2CCDEB-B8AB-F9BB-D274-7E75DBEDFFE8}">
  <sheetPr>
    <tabColor theme="6" tint="0.39997558519241921"/>
  </sheetPr>
  <dimension ref="A1:AC40"/>
  <sheetViews>
    <sheetView showGridLines="0" topLeftCell="A4" workbookViewId="0"/>
  </sheetViews>
  <sheetFormatPr defaultColWidth="10.5703125" defaultRowHeight="14.25" customHeight="1"/>
  <cols>
    <col min="1" max="1" width="11.5703125" style="24" customWidth="1"/>
    <col min="2" max="2" width="10.7109375" style="24" customWidth="1"/>
    <col min="3" max="3" width="10" style="24" customWidth="1"/>
    <col min="4" max="4" width="12.85546875" style="24" customWidth="1"/>
    <col min="5" max="5" width="12.28515625" style="24" customWidth="1"/>
    <col min="6" max="8" width="12.28515625" style="42" customWidth="1"/>
    <col min="9" max="9" width="3.7109375" style="42" customWidth="1"/>
    <col min="10" max="11" width="3.7109375" style="37" customWidth="1"/>
    <col min="12" max="12" width="12.7109375" style="368" customWidth="1"/>
    <col min="13" max="13" width="32" style="24" customWidth="1"/>
    <col min="14" max="14" width="1.7109375" style="24" customWidth="1"/>
    <col min="15" max="18" width="24.7109375" style="24" customWidth="1"/>
    <col min="19" max="19" width="11.7109375" style="24" customWidth="1"/>
    <col min="20" max="20" width="3.7109375" style="24" customWidth="1"/>
    <col min="21" max="21" width="11.7109375" style="24" customWidth="1"/>
    <col min="22" max="22" width="8.5703125" style="24" customWidth="1"/>
    <col min="23" max="23" width="4.7109375" style="24" customWidth="1"/>
    <col min="24" max="24" width="115.7109375" style="24" customWidth="1"/>
    <col min="25" max="26" width="10.5703125" style="77"/>
    <col min="27" max="27" width="11.140625" style="77" customWidth="1"/>
    <col min="28" max="29" width="10.5703125" style="77"/>
  </cols>
  <sheetData>
    <row r="1" spans="6:29" ht="14.25" hidden="1" customHeight="1"/>
    <row r="2" spans="6:29" ht="14.25" hidden="1" customHeight="1"/>
    <row r="3" spans="6:29" ht="14.25" hidden="1" customHeight="1"/>
    <row r="4" spans="6:29" ht="14.25" customHeight="1">
      <c r="J4" s="36"/>
      <c r="K4" s="36"/>
      <c r="L4" s="793"/>
      <c r="M4" s="25"/>
      <c r="N4" s="25"/>
    </row>
    <row r="5" spans="6:29" ht="64.5" customHeight="1">
      <c r="J5" s="36"/>
      <c r="K5" s="36"/>
      <c r="L5" s="1181" t="s">
        <v>415</v>
      </c>
      <c r="M5" s="1181"/>
      <c r="N5" s="1181"/>
      <c r="O5" s="1181"/>
      <c r="P5" s="1181"/>
      <c r="Q5" s="1181"/>
      <c r="R5" s="1181"/>
      <c r="S5" s="1181"/>
      <c r="T5" s="1181"/>
      <c r="U5" s="1181"/>
      <c r="V5" s="69"/>
    </row>
    <row r="6" spans="6:29" ht="14.25" customHeight="1">
      <c r="J6" s="36"/>
      <c r="K6" s="36"/>
      <c r="L6" s="1204" t="str">
        <f>IF(org=0,"Не определено",org)</f>
        <v>ООО "ТЕПЛО ПЛЮС"</v>
      </c>
      <c r="M6" s="1204"/>
      <c r="N6" s="1204"/>
      <c r="O6" s="1204"/>
      <c r="P6" s="1204"/>
      <c r="Q6" s="1204"/>
      <c r="R6" s="1204"/>
      <c r="S6" s="1204"/>
      <c r="T6" s="1204"/>
      <c r="U6" s="1204"/>
      <c r="V6" s="69"/>
    </row>
    <row r="7" spans="6:29" ht="14.25" customHeight="1">
      <c r="J7" s="36"/>
      <c r="K7" s="36"/>
      <c r="L7" s="793"/>
      <c r="M7" s="25"/>
      <c r="N7" s="25"/>
      <c r="O7" s="202"/>
      <c r="P7" s="202"/>
      <c r="Q7" s="202"/>
      <c r="R7" s="202"/>
      <c r="S7" s="202"/>
      <c r="T7" s="202"/>
      <c r="U7" s="202"/>
      <c r="V7" s="202"/>
    </row>
    <row r="8" spans="6:29" s="44" customFormat="1" ht="45" customHeight="1">
      <c r="F8" s="369"/>
      <c r="G8" s="369"/>
      <c r="H8" s="369"/>
      <c r="L8" s="794"/>
      <c r="M8" s="178" t="s">
        <v>39</v>
      </c>
      <c r="N8" s="183"/>
      <c r="O8" s="1330" t="str">
        <f>IF(TITLE_NAME_OR_PR_CHANGE="",IF(TITLE_NAME_OR_PR="","",TITLE_NAME_OR_PR),TITLE_NAME_OR_PR_CHANGE)</f>
        <v/>
      </c>
      <c r="P8" s="1330"/>
      <c r="Q8" s="1330"/>
      <c r="R8" s="1330"/>
      <c r="S8" s="1330"/>
      <c r="T8" s="1330"/>
      <c r="U8" s="1330"/>
      <c r="V8" s="24"/>
      <c r="W8" s="24"/>
      <c r="X8" s="171"/>
      <c r="Y8" s="79"/>
      <c r="Z8" s="79"/>
      <c r="AA8" s="79"/>
      <c r="AB8" s="79"/>
      <c r="AC8" s="79"/>
    </row>
    <row r="9" spans="6:29" s="44" customFormat="1" ht="22.5" customHeight="1">
      <c r="F9" s="369"/>
      <c r="G9" s="369"/>
      <c r="H9" s="369"/>
      <c r="L9" s="794"/>
      <c r="M9" s="178" t="s">
        <v>1485</v>
      </c>
      <c r="N9" s="183"/>
      <c r="O9" s="1330" t="str">
        <f>IF(TITLE_DATE_CHANGE_PERIOD="",IF(TITLE_DATE_PR="","",TITLE_DATE_PR),TITLE_DATE_CHANGE_PERIOD)</f>
        <v/>
      </c>
      <c r="P9" s="1330"/>
      <c r="Q9" s="1330"/>
      <c r="R9" s="1330"/>
      <c r="S9" s="1330"/>
      <c r="T9" s="1330"/>
      <c r="U9" s="1330"/>
      <c r="V9" s="24"/>
      <c r="W9" s="24"/>
      <c r="X9" s="171"/>
      <c r="Y9" s="79"/>
      <c r="Z9" s="79"/>
      <c r="AA9" s="79"/>
      <c r="AB9" s="79"/>
      <c r="AC9" s="79"/>
    </row>
    <row r="10" spans="6:29" s="44" customFormat="1" ht="22.5" customHeight="1">
      <c r="F10" s="369"/>
      <c r="G10" s="369"/>
      <c r="H10" s="369"/>
      <c r="L10" s="368"/>
      <c r="M10" s="178" t="s">
        <v>1486</v>
      </c>
      <c r="N10" s="183"/>
      <c r="O10" s="1330" t="str">
        <f>IF(TITLE_NUMBER_PR_CHANGE="",IF(TITLE_NUMBER_PR="","",TITLE_NUMBER_PR),TITLE_NUMBER_PR_CHANGE)</f>
        <v/>
      </c>
      <c r="P10" s="1330"/>
      <c r="Q10" s="1330"/>
      <c r="R10" s="1330"/>
      <c r="S10" s="1330"/>
      <c r="T10" s="1330"/>
      <c r="U10" s="1330"/>
      <c r="V10" s="24"/>
      <c r="W10" s="24"/>
      <c r="X10" s="171"/>
      <c r="Y10" s="79"/>
      <c r="Z10" s="79"/>
      <c r="AA10" s="79"/>
      <c r="AB10" s="79"/>
      <c r="AC10" s="79"/>
    </row>
    <row r="11" spans="6:29" s="44" customFormat="1" ht="22.5" customHeight="1">
      <c r="F11" s="369"/>
      <c r="G11" s="369"/>
      <c r="H11" s="369"/>
      <c r="L11" s="368"/>
      <c r="M11" s="178" t="s">
        <v>40</v>
      </c>
      <c r="N11" s="183"/>
      <c r="O11" s="1330" t="str">
        <f>IF(TITLE_IST_PUB_CHANGE="",IF(TITLE_IST_PUB="","",TITLE_IST_PUB),TITLE_IST_PUB_CHANGE)</f>
        <v/>
      </c>
      <c r="P11" s="1330"/>
      <c r="Q11" s="1330"/>
      <c r="R11" s="1330"/>
      <c r="S11" s="1330"/>
      <c r="T11" s="1330"/>
      <c r="U11" s="1330"/>
      <c r="V11" s="24"/>
      <c r="W11" s="24"/>
      <c r="X11" s="171"/>
      <c r="Y11" s="79"/>
      <c r="Z11" s="79"/>
      <c r="AA11" s="79"/>
      <c r="AB11" s="79"/>
      <c r="AC11" s="79"/>
    </row>
    <row r="12" spans="6:29" s="44" customFormat="1" ht="11.25" hidden="1" customHeight="1">
      <c r="F12" s="369"/>
      <c r="G12" s="369"/>
      <c r="H12" s="369"/>
      <c r="L12" s="1398"/>
      <c r="M12" s="1398"/>
      <c r="N12" s="87"/>
      <c r="O12" s="24"/>
      <c r="P12" s="24"/>
      <c r="Q12" s="24"/>
      <c r="R12" s="24"/>
      <c r="S12" s="24"/>
      <c r="T12" s="24"/>
      <c r="U12" s="24"/>
      <c r="V12" s="77" t="s">
        <v>1489</v>
      </c>
      <c r="Y12" s="79"/>
      <c r="Z12" s="79"/>
      <c r="AA12" s="79"/>
      <c r="AB12" s="79"/>
      <c r="AC12" s="79"/>
    </row>
    <row r="13" spans="6:29" ht="14.25" customHeight="1">
      <c r="J13" s="36"/>
      <c r="K13" s="36"/>
      <c r="L13" s="793"/>
      <c r="M13" s="25"/>
      <c r="N13" s="766"/>
      <c r="O13" s="1348"/>
      <c r="P13" s="1348"/>
      <c r="Q13" s="1348"/>
      <c r="R13" s="1348"/>
      <c r="S13" s="1348"/>
      <c r="T13" s="1348"/>
      <c r="U13" s="1348"/>
      <c r="V13" s="1348"/>
    </row>
    <row r="14" spans="6:29" ht="14.25" customHeight="1">
      <c r="J14" s="36"/>
      <c r="K14" s="36"/>
      <c r="L14" s="1123" t="s">
        <v>292</v>
      </c>
      <c r="M14" s="1123"/>
      <c r="N14" s="1123"/>
      <c r="O14" s="1123"/>
      <c r="P14" s="1123"/>
      <c r="Q14" s="1123"/>
      <c r="R14" s="1123"/>
      <c r="S14" s="1123"/>
      <c r="T14" s="1123"/>
      <c r="U14" s="1123"/>
      <c r="V14" s="1123"/>
      <c r="W14" s="1123"/>
      <c r="X14" s="1123" t="s">
        <v>293</v>
      </c>
    </row>
    <row r="15" spans="6:29" ht="14.25" customHeight="1">
      <c r="J15" s="36"/>
      <c r="K15" s="36"/>
      <c r="L15" s="1349" t="s">
        <v>88</v>
      </c>
      <c r="M15" s="1213" t="s">
        <v>1490</v>
      </c>
      <c r="N15" s="180"/>
      <c r="O15" s="1350" t="s">
        <v>1555</v>
      </c>
      <c r="P15" s="1351"/>
      <c r="Q15" s="1351"/>
      <c r="R15" s="1351"/>
      <c r="S15" s="1351"/>
      <c r="T15" s="1351"/>
      <c r="U15" s="1352"/>
      <c r="V15" s="1353" t="s">
        <v>1492</v>
      </c>
      <c r="W15" s="1356" t="s">
        <v>1556</v>
      </c>
      <c r="X15" s="1123"/>
    </row>
    <row r="16" spans="6:29" ht="33.75" customHeight="1">
      <c r="J16" s="36"/>
      <c r="K16" s="36"/>
      <c r="L16" s="1349"/>
      <c r="M16" s="1213"/>
      <c r="N16" s="647"/>
      <c r="O16" s="1182" t="s">
        <v>1495</v>
      </c>
      <c r="P16" s="1182" t="s">
        <v>1496</v>
      </c>
      <c r="Q16" s="1105" t="s">
        <v>1497</v>
      </c>
      <c r="R16" s="1104"/>
      <c r="S16" s="1105" t="s">
        <v>1516</v>
      </c>
      <c r="T16" s="1110"/>
      <c r="U16" s="1104"/>
      <c r="V16" s="1354"/>
      <c r="W16" s="1357"/>
      <c r="X16" s="1123"/>
    </row>
    <row r="17" spans="1:29" ht="33.75" customHeight="1">
      <c r="A17" s="369" t="s">
        <v>135</v>
      </c>
      <c r="B17" s="369" t="s">
        <v>136</v>
      </c>
      <c r="C17" s="369" t="s">
        <v>137</v>
      </c>
      <c r="D17" s="369" t="s">
        <v>138</v>
      </c>
      <c r="E17" s="369"/>
      <c r="J17" s="36"/>
      <c r="K17" s="36"/>
      <c r="L17" s="1349"/>
      <c r="M17" s="1213"/>
      <c r="N17" s="181"/>
      <c r="O17" s="1238"/>
      <c r="P17" s="1238"/>
      <c r="Q17" s="48" t="s">
        <v>1506</v>
      </c>
      <c r="R17" s="48" t="s">
        <v>1507</v>
      </c>
      <c r="S17" s="48" t="s">
        <v>1508</v>
      </c>
      <c r="T17" s="1219" t="s">
        <v>1509</v>
      </c>
      <c r="U17" s="1233"/>
      <c r="V17" s="1355"/>
      <c r="W17" s="1358"/>
      <c r="X17" s="1123"/>
    </row>
    <row r="18" spans="1:29" s="216" customFormat="1" ht="11.25" customHeight="1">
      <c r="A18" s="369"/>
      <c r="B18" s="369"/>
      <c r="C18" s="369"/>
      <c r="D18" s="369"/>
      <c r="E18" s="369"/>
      <c r="F18" s="42"/>
      <c r="G18" s="42"/>
      <c r="H18" s="42"/>
      <c r="I18" s="768"/>
      <c r="J18" s="769"/>
      <c r="K18" s="777">
        <v>1</v>
      </c>
      <c r="L18" s="795" t="s">
        <v>109</v>
      </c>
      <c r="M18" s="778" t="s">
        <v>110</v>
      </c>
      <c r="N18" s="767" t="str">
        <f ca="1">OFFSET(N18,0,-1)</f>
        <v>2</v>
      </c>
      <c r="O18" s="779">
        <f ca="1">OFFSET(O18,0,-1)+1</f>
        <v>3</v>
      </c>
      <c r="P18" s="779"/>
      <c r="Q18" s="779">
        <f ca="1">OFFSET(Q18,0,-1)+1</f>
        <v>1</v>
      </c>
      <c r="R18" s="779">
        <f ca="1">OFFSET(R18,0,-1)+1</f>
        <v>2</v>
      </c>
      <c r="S18" s="779">
        <f ca="1">OFFSET(S18,0,-1)+1</f>
        <v>3</v>
      </c>
      <c r="T18" s="1347">
        <f ca="1">OFFSET(T18,0,-1)+1</f>
        <v>4</v>
      </c>
      <c r="U18" s="1347"/>
      <c r="V18" s="779">
        <f ca="1">OFFSET(V18,0,-2)+1</f>
        <v>5</v>
      </c>
      <c r="W18" s="767">
        <f ca="1">OFFSET(W18,0,-1)</f>
        <v>5</v>
      </c>
      <c r="X18" s="779">
        <f ca="1">OFFSET(X18,0,-1)+1</f>
        <v>6</v>
      </c>
      <c r="Y18" s="77"/>
      <c r="Z18" s="77"/>
      <c r="AA18" s="77"/>
      <c r="AB18" s="77"/>
      <c r="AC18" s="77"/>
    </row>
    <row r="19" spans="1:29" ht="21" customHeight="1">
      <c r="A19" s="785" t="s">
        <v>1560</v>
      </c>
      <c r="B19" s="785" t="s">
        <v>1561</v>
      </c>
      <c r="C19" s="785" t="s">
        <v>1562</v>
      </c>
      <c r="D19" s="785" t="s">
        <v>1563</v>
      </c>
      <c r="E19" s="785"/>
      <c r="F19" s="368"/>
      <c r="G19" s="368"/>
      <c r="H19" s="368"/>
      <c r="J19" s="43"/>
      <c r="K19" s="220"/>
      <c r="L19" s="755" t="e">
        <f>INDEX(PT_DIFFERENTIATION_NUM_NTAR,MATCH(A19,PT_DIFFERENTIATION_NTAR_ID,0))</f>
        <v>#N/A</v>
      </c>
      <c r="M19" s="76" t="s">
        <v>124</v>
      </c>
      <c r="N19" s="179"/>
      <c r="O19" s="1393" t="e">
        <f>INDEX(PT_DIFFERENTIATION_NTAR,MATCH(A19,PT_DIFFERENTIATION_NTAR_ID,0))</f>
        <v>#N/A</v>
      </c>
      <c r="P19" s="1393"/>
      <c r="Q19" s="1393"/>
      <c r="R19" s="1393"/>
      <c r="S19" s="1393"/>
      <c r="T19" s="1393"/>
      <c r="U19" s="1393"/>
      <c r="V19" s="1393"/>
      <c r="W19" s="1393"/>
      <c r="X19" s="782" t="s">
        <v>1461</v>
      </c>
      <c r="Z19" s="79"/>
      <c r="AA19" s="79" t="str">
        <f t="shared" ref="AA19:AA32" si="0">IF(M19="","",M19)</f>
        <v>Наименование тарифа</v>
      </c>
      <c r="AB19" s="79"/>
      <c r="AC19" s="79"/>
    </row>
    <row r="20" spans="1:29" ht="21" customHeight="1">
      <c r="A20" s="785" t="s">
        <v>1560</v>
      </c>
      <c r="B20" s="785" t="s">
        <v>1561</v>
      </c>
      <c r="C20" s="785" t="s">
        <v>1562</v>
      </c>
      <c r="D20" s="785" t="s">
        <v>1563</v>
      </c>
      <c r="E20" s="785"/>
      <c r="F20" s="368"/>
      <c r="G20" s="368"/>
      <c r="H20" s="368"/>
      <c r="I20" s="68"/>
      <c r="J20" s="217"/>
      <c r="K20" s="218"/>
      <c r="L20" s="755" t="e">
        <f>INDEX(PT_DIFFERENTIATION_NUM_TER,MATCH(B19,PT_DIFFERENTIATION_TER_ID,0))</f>
        <v>#N/A</v>
      </c>
      <c r="M20" s="187" t="s">
        <v>1462</v>
      </c>
      <c r="N20" s="179"/>
      <c r="O20" s="1393" t="e">
        <f>INDEX(PT_DIFFERENTIATION_TER,MATCH(B19,PT_DIFFERENTIATION_TER_ID,0))</f>
        <v>#N/A</v>
      </c>
      <c r="P20" s="1393"/>
      <c r="Q20" s="1393"/>
      <c r="R20" s="1393"/>
      <c r="S20" s="1393"/>
      <c r="T20" s="1393"/>
      <c r="U20" s="1393"/>
      <c r="V20" s="1393"/>
      <c r="W20" s="1393"/>
      <c r="X20" s="782" t="s">
        <v>1463</v>
      </c>
      <c r="Z20" s="79"/>
      <c r="AA20" s="79" t="str">
        <f t="shared" si="0"/>
        <v>Территория действия тарифа</v>
      </c>
      <c r="AB20" s="79"/>
      <c r="AC20" s="79"/>
    </row>
    <row r="21" spans="1:29" ht="22.5" customHeight="1">
      <c r="A21" s="785" t="s">
        <v>1560</v>
      </c>
      <c r="B21" s="785" t="s">
        <v>1561</v>
      </c>
      <c r="C21" s="785" t="s">
        <v>1562</v>
      </c>
      <c r="D21" s="785" t="s">
        <v>1563</v>
      </c>
      <c r="E21" s="785"/>
      <c r="F21" s="368"/>
      <c r="G21" s="368"/>
      <c r="H21" s="368"/>
      <c r="I21" s="219"/>
      <c r="J21" s="217"/>
      <c r="K21" s="218"/>
      <c r="L21" s="755" t="e">
        <f>INDEX(PT_DIFFERENTIATION_NUM_CS,MATCH(C19,PT_DIFFERENTIATION_CS_ID,0))</f>
        <v>#N/A</v>
      </c>
      <c r="M21" s="188" t="s">
        <v>1464</v>
      </c>
      <c r="N21" s="179"/>
      <c r="O21" s="1393" t="e">
        <f>INDEX(PT_DIFFERENTIATION_CS,MATCH(C19,PT_DIFFERENTIATION_CS_ID,0))</f>
        <v>#N/A</v>
      </c>
      <c r="P21" s="1393"/>
      <c r="Q21" s="1393"/>
      <c r="R21" s="1393"/>
      <c r="S21" s="1393"/>
      <c r="T21" s="1393"/>
      <c r="U21" s="1393"/>
      <c r="V21" s="1393"/>
      <c r="W21" s="1393"/>
      <c r="X21" s="782" t="s">
        <v>1465</v>
      </c>
      <c r="Z21" s="79"/>
      <c r="AA21" s="79" t="str">
        <f t="shared" si="0"/>
        <v xml:space="preserve">Наименование системы теплоснабжения </v>
      </c>
      <c r="AB21" s="79"/>
      <c r="AC21" s="79"/>
    </row>
    <row r="22" spans="1:29" ht="21" customHeight="1">
      <c r="A22" s="785" t="s">
        <v>1560</v>
      </c>
      <c r="B22" s="785" t="s">
        <v>1561</v>
      </c>
      <c r="C22" s="785" t="s">
        <v>1562</v>
      </c>
      <c r="D22" s="785" t="s">
        <v>1563</v>
      </c>
      <c r="E22" s="785"/>
      <c r="F22" s="368"/>
      <c r="G22" s="368"/>
      <c r="H22" s="368"/>
      <c r="I22" s="219"/>
      <c r="J22" s="217"/>
      <c r="K22" s="218"/>
      <c r="L22" s="755" t="e">
        <f>INDEX(PT_DIFFERENTIATION_NUM_IST_TE,MATCH(D19,PT_DIFFERENTIATION_IST_TE_ID,0))</f>
        <v>#N/A</v>
      </c>
      <c r="M22" s="189" t="s">
        <v>1466</v>
      </c>
      <c r="N22" s="179"/>
      <c r="O22" s="1393" t="e">
        <f>INDEX(PT_DIFFERENTIATION_IST_TE,MATCH(D19,PT_DIFFERENTIATION_IST_TE_ID,0))</f>
        <v>#N/A</v>
      </c>
      <c r="P22" s="1393"/>
      <c r="Q22" s="1393"/>
      <c r="R22" s="1393"/>
      <c r="S22" s="1393"/>
      <c r="T22" s="1393"/>
      <c r="U22" s="1393"/>
      <c r="V22" s="1393"/>
      <c r="W22" s="1393"/>
      <c r="X22" s="782" t="s">
        <v>1467</v>
      </c>
      <c r="Z22" s="79"/>
      <c r="AA22" s="79" t="str">
        <f t="shared" si="0"/>
        <v xml:space="preserve">Источник тепловой энергии  </v>
      </c>
      <c r="AB22" s="79"/>
      <c r="AC22" s="79"/>
    </row>
    <row r="23" spans="1:29" ht="94.5" customHeight="1">
      <c r="A23" s="785" t="s">
        <v>1560</v>
      </c>
      <c r="B23" s="785" t="s">
        <v>1561</v>
      </c>
      <c r="C23" s="785" t="s">
        <v>1562</v>
      </c>
      <c r="D23" s="785" t="s">
        <v>1563</v>
      </c>
      <c r="E23" s="785"/>
      <c r="F23" s="1108" t="e">
        <f>L22&amp;".1"</f>
        <v>#N/A</v>
      </c>
      <c r="I23" s="1259">
        <v>1</v>
      </c>
      <c r="J23" s="127"/>
      <c r="K23" s="221"/>
      <c r="L23" s="755" t="e">
        <f>$F$23</f>
        <v>#N/A</v>
      </c>
      <c r="M23" s="172" t="s">
        <v>1469</v>
      </c>
      <c r="N23" s="179"/>
      <c r="O23" s="1394"/>
      <c r="P23" s="1394"/>
      <c r="Q23" s="1394"/>
      <c r="R23" s="1394"/>
      <c r="S23" s="1394"/>
      <c r="T23" s="1394"/>
      <c r="U23" s="1394"/>
      <c r="V23" s="1394"/>
      <c r="W23" s="1394"/>
      <c r="X23" s="782" t="s">
        <v>1470</v>
      </c>
      <c r="Z23" s="79"/>
      <c r="AA23" s="79" t="str">
        <f t="shared" si="0"/>
        <v>Схема подключения теплопотребляющей установки к коллектору источника тепловой энергии</v>
      </c>
      <c r="AB23" s="79"/>
      <c r="AC23" s="79"/>
    </row>
    <row r="24" spans="1:29" ht="84" customHeight="1">
      <c r="A24" s="785" t="s">
        <v>1560</v>
      </c>
      <c r="B24" s="785" t="s">
        <v>1561</v>
      </c>
      <c r="C24" s="785" t="s">
        <v>1562</v>
      </c>
      <c r="D24" s="785" t="s">
        <v>1563</v>
      </c>
      <c r="E24" s="785"/>
      <c r="F24" s="1108"/>
      <c r="G24" s="1108" t="e">
        <f>F23&amp;".1"</f>
        <v>#N/A</v>
      </c>
      <c r="I24" s="1259"/>
      <c r="J24" s="1259">
        <v>1</v>
      </c>
      <c r="K24" s="222"/>
      <c r="L24" s="755" t="e">
        <f>$G$24</f>
        <v>#N/A</v>
      </c>
      <c r="M24" s="173" t="s">
        <v>1472</v>
      </c>
      <c r="N24" s="179"/>
      <c r="O24" s="1395"/>
      <c r="P24" s="1396"/>
      <c r="Q24" s="1396"/>
      <c r="R24" s="1396"/>
      <c r="S24" s="1396"/>
      <c r="T24" s="1396"/>
      <c r="U24" s="1396"/>
      <c r="V24" s="1396"/>
      <c r="W24" s="1397"/>
      <c r="X24" s="782" t="s">
        <v>1473</v>
      </c>
      <c r="Z24" s="79"/>
      <c r="AA24" s="79" t="str">
        <f t="shared" si="0"/>
        <v>Группа потребителей</v>
      </c>
      <c r="AB24" s="79"/>
      <c r="AC24" s="79"/>
    </row>
    <row r="25" spans="1:29" ht="11.25" customHeight="1">
      <c r="A25" s="785" t="s">
        <v>1560</v>
      </c>
      <c r="B25" s="785" t="s">
        <v>1561</v>
      </c>
      <c r="C25" s="785" t="s">
        <v>1562</v>
      </c>
      <c r="D25" s="785" t="s">
        <v>1563</v>
      </c>
      <c r="E25" s="785"/>
      <c r="F25" s="1108"/>
      <c r="G25" s="1108"/>
      <c r="H25" s="1108" t="e">
        <f>G24&amp;".1"</f>
        <v>#N/A</v>
      </c>
      <c r="I25" s="1259"/>
      <c r="J25" s="1259"/>
      <c r="K25" s="222">
        <v>1</v>
      </c>
      <c r="L25" s="755" t="e">
        <f>$H$25</f>
        <v>#N/A</v>
      </c>
      <c r="M25" s="783"/>
      <c r="N25" s="179"/>
      <c r="O25" s="1054"/>
      <c r="P25" s="1055"/>
      <c r="Q25" s="1054"/>
      <c r="R25" s="1056"/>
      <c r="S25" s="1341"/>
      <c r="T25" s="1133" t="s">
        <v>67</v>
      </c>
      <c r="U25" s="1341"/>
      <c r="V25" s="1133" t="s">
        <v>57</v>
      </c>
      <c r="W25" s="1055"/>
      <c r="X25" s="1359" t="s">
        <v>1475</v>
      </c>
      <c r="Y25" s="77" t="e">
        <f ca="1">STRCHECKDATE(O26:W26)</f>
        <v>#NAME?</v>
      </c>
      <c r="Z25" s="79"/>
      <c r="AA25" s="79" t="str">
        <f t="shared" si="0"/>
        <v/>
      </c>
      <c r="AB25" s="79"/>
      <c r="AC25" s="79"/>
    </row>
    <row r="26" spans="1:29" ht="11.25" customHeight="1">
      <c r="A26" s="785" t="s">
        <v>1560</v>
      </c>
      <c r="B26" s="785" t="s">
        <v>1561</v>
      </c>
      <c r="C26" s="785" t="s">
        <v>1562</v>
      </c>
      <c r="D26" s="785" t="s">
        <v>1563</v>
      </c>
      <c r="E26" s="785"/>
      <c r="F26" s="1108"/>
      <c r="G26" s="1108"/>
      <c r="H26" s="1108"/>
      <c r="I26" s="1259"/>
      <c r="J26" s="1259"/>
      <c r="K26" s="222"/>
      <c r="L26" s="74"/>
      <c r="M26" s="179"/>
      <c r="N26" s="179"/>
      <c r="O26" s="1055"/>
      <c r="P26" s="1055"/>
      <c r="Q26" s="1055"/>
      <c r="R26" s="1057" t="str">
        <f>S25&amp;"-"&amp;U25</f>
        <v>-</v>
      </c>
      <c r="S26" s="1342"/>
      <c r="T26" s="1133"/>
      <c r="U26" s="1342"/>
      <c r="V26" s="1133"/>
      <c r="W26" s="1055"/>
      <c r="X26" s="1360"/>
      <c r="Z26" s="79"/>
      <c r="AA26" s="79" t="str">
        <f t="shared" si="0"/>
        <v/>
      </c>
      <c r="AB26" s="79"/>
      <c r="AC26" s="79"/>
    </row>
    <row r="27" spans="1:29" ht="15" customHeight="1">
      <c r="A27" s="785" t="s">
        <v>1560</v>
      </c>
      <c r="B27" s="785" t="s">
        <v>1561</v>
      </c>
      <c r="C27" s="785" t="s">
        <v>1562</v>
      </c>
      <c r="D27" s="785" t="s">
        <v>1563</v>
      </c>
      <c r="E27" s="785"/>
      <c r="F27" s="1108"/>
      <c r="G27" s="1108"/>
      <c r="I27" s="1259"/>
      <c r="J27" s="1259"/>
      <c r="K27" s="221"/>
      <c r="L27" s="796"/>
      <c r="M27" s="175" t="s">
        <v>1476</v>
      </c>
      <c r="N27" s="228"/>
      <c r="O27" s="228"/>
      <c r="P27" s="228"/>
      <c r="Q27" s="228"/>
      <c r="R27" s="228"/>
      <c r="S27" s="228"/>
      <c r="T27" s="228"/>
      <c r="U27" s="228"/>
      <c r="V27" s="228"/>
      <c r="W27" s="204"/>
      <c r="X27" s="1361"/>
      <c r="Z27" s="79"/>
      <c r="AA27" s="79" t="str">
        <f t="shared" si="0"/>
        <v>Добавить вид теплоносителя (параметры теплоносителя)</v>
      </c>
      <c r="AB27" s="79"/>
      <c r="AC27" s="79"/>
    </row>
    <row r="28" spans="1:29" ht="15" customHeight="1">
      <c r="A28" s="785" t="s">
        <v>1560</v>
      </c>
      <c r="B28" s="785" t="s">
        <v>1561</v>
      </c>
      <c r="C28" s="785" t="s">
        <v>1562</v>
      </c>
      <c r="D28" s="785" t="s">
        <v>1563</v>
      </c>
      <c r="E28" s="785"/>
      <c r="F28" s="1108"/>
      <c r="I28" s="1259"/>
      <c r="J28" s="127"/>
      <c r="K28" s="221"/>
      <c r="L28" s="796"/>
      <c r="M28" s="174" t="s">
        <v>1477</v>
      </c>
      <c r="N28" s="228"/>
      <c r="O28" s="228"/>
      <c r="P28" s="228"/>
      <c r="Q28" s="228"/>
      <c r="R28" s="228"/>
      <c r="S28" s="228"/>
      <c r="T28" s="228"/>
      <c r="U28" s="228"/>
      <c r="V28" s="205"/>
      <c r="W28" s="228"/>
      <c r="X28" s="182"/>
      <c r="Z28" s="79"/>
      <c r="AA28" s="79" t="str">
        <f t="shared" si="0"/>
        <v>Добавить группу потребителей</v>
      </c>
      <c r="AB28" s="79"/>
      <c r="AC28" s="79"/>
    </row>
    <row r="29" spans="1:29" ht="14.25" customHeight="1">
      <c r="A29" s="785" t="s">
        <v>1560</v>
      </c>
      <c r="B29" s="785" t="s">
        <v>1561</v>
      </c>
      <c r="C29" s="785" t="s">
        <v>1562</v>
      </c>
      <c r="D29" s="785" t="s">
        <v>1563</v>
      </c>
      <c r="E29" s="785"/>
      <c r="F29" s="368"/>
      <c r="G29" s="368"/>
      <c r="H29" s="24"/>
      <c r="I29" s="43"/>
      <c r="J29" s="231"/>
      <c r="K29" s="220"/>
      <c r="L29" s="796"/>
      <c r="M29" s="226" t="s">
        <v>1478</v>
      </c>
      <c r="N29" s="228"/>
      <c r="O29" s="228"/>
      <c r="P29" s="228"/>
      <c r="Q29" s="228"/>
      <c r="R29" s="228"/>
      <c r="S29" s="228"/>
      <c r="T29" s="228"/>
      <c r="U29" s="228"/>
      <c r="V29" s="205"/>
      <c r="W29" s="228"/>
      <c r="X29" s="182"/>
      <c r="Z29" s="79"/>
      <c r="AA29" s="79" t="str">
        <f t="shared" si="0"/>
        <v>Добавить схему подключения</v>
      </c>
      <c r="AB29" s="79"/>
      <c r="AC29" s="79"/>
    </row>
    <row r="30" spans="1:29" ht="14.25" customHeight="1">
      <c r="A30" s="785" t="s">
        <v>1560</v>
      </c>
      <c r="B30" s="785" t="s">
        <v>1561</v>
      </c>
      <c r="C30" s="785" t="s">
        <v>1562</v>
      </c>
      <c r="D30" s="785"/>
      <c r="E30" s="785" t="s">
        <v>1557</v>
      </c>
      <c r="F30" s="368"/>
      <c r="G30" s="368"/>
      <c r="H30" s="24"/>
      <c r="I30" s="43"/>
      <c r="J30" s="231"/>
      <c r="K30" s="220"/>
      <c r="L30" s="797"/>
      <c r="M30" s="786"/>
      <c r="N30" s="787"/>
      <c r="O30" s="787"/>
      <c r="P30" s="787"/>
      <c r="Q30" s="787"/>
      <c r="R30" s="787"/>
      <c r="S30" s="787"/>
      <c r="T30" s="787"/>
      <c r="U30" s="787"/>
      <c r="V30" s="788"/>
      <c r="W30" s="787"/>
      <c r="X30" s="789"/>
      <c r="Z30" s="79"/>
      <c r="AA30" s="79" t="str">
        <f t="shared" si="0"/>
        <v/>
      </c>
      <c r="AB30" s="79"/>
      <c r="AC30" s="79"/>
    </row>
    <row r="31" spans="1:29" ht="14.25" customHeight="1">
      <c r="A31" s="785" t="s">
        <v>1560</v>
      </c>
      <c r="B31" s="785" t="s">
        <v>1561</v>
      </c>
      <c r="C31" s="785"/>
      <c r="D31" s="785"/>
      <c r="E31" s="785" t="s">
        <v>1558</v>
      </c>
      <c r="F31" s="780"/>
      <c r="G31" s="780"/>
      <c r="H31" s="24"/>
      <c r="I31" s="56"/>
      <c r="J31" s="231"/>
      <c r="K31" s="223"/>
      <c r="L31" s="797"/>
      <c r="M31" s="790"/>
      <c r="N31" s="787"/>
      <c r="O31" s="787"/>
      <c r="P31" s="787"/>
      <c r="Q31" s="787"/>
      <c r="R31" s="787"/>
      <c r="S31" s="787"/>
      <c r="T31" s="787"/>
      <c r="U31" s="787"/>
      <c r="V31" s="788"/>
      <c r="W31" s="787"/>
      <c r="X31" s="789"/>
      <c r="Z31" s="79"/>
      <c r="AA31" s="79" t="str">
        <f t="shared" si="0"/>
        <v/>
      </c>
      <c r="AB31" s="79"/>
      <c r="AC31" s="79"/>
    </row>
    <row r="32" spans="1:29" ht="14.25" customHeight="1">
      <c r="A32" s="785" t="s">
        <v>1564</v>
      </c>
      <c r="B32" s="785"/>
      <c r="C32" s="785"/>
      <c r="D32" s="785"/>
      <c r="E32" s="785" t="s">
        <v>104</v>
      </c>
      <c r="F32" s="780"/>
      <c r="G32" s="780"/>
      <c r="H32" s="24"/>
      <c r="I32" s="43"/>
      <c r="J32" s="231"/>
      <c r="K32" s="220"/>
      <c r="L32" s="797"/>
      <c r="M32" s="791"/>
      <c r="N32" s="787"/>
      <c r="O32" s="787"/>
      <c r="P32" s="787"/>
      <c r="Q32" s="787"/>
      <c r="R32" s="787"/>
      <c r="S32" s="787"/>
      <c r="T32" s="787"/>
      <c r="U32" s="787"/>
      <c r="V32" s="788"/>
      <c r="W32" s="787"/>
      <c r="X32" s="789"/>
      <c r="Z32" s="79"/>
      <c r="AA32" s="79" t="str">
        <f t="shared" si="0"/>
        <v/>
      </c>
      <c r="AB32" s="79"/>
      <c r="AC32" s="79"/>
    </row>
    <row r="33" spans="1:29" ht="11.25" customHeight="1">
      <c r="A33" s="785"/>
      <c r="B33" s="785"/>
      <c r="C33" s="785"/>
      <c r="D33" s="785"/>
      <c r="E33" s="785" t="s">
        <v>1440</v>
      </c>
      <c r="F33" s="780"/>
      <c r="G33" s="781"/>
      <c r="H33" s="24"/>
      <c r="I33"/>
      <c r="J33"/>
      <c r="K33"/>
      <c r="L33" s="798"/>
      <c r="M33" s="792"/>
      <c r="N33" s="787"/>
      <c r="O33" s="787"/>
      <c r="P33" s="787"/>
      <c r="Q33" s="787"/>
      <c r="R33" s="787"/>
      <c r="S33" s="787"/>
      <c r="T33" s="787"/>
      <c r="U33" s="787"/>
      <c r="V33" s="788"/>
      <c r="W33" s="787"/>
      <c r="X33" s="789"/>
      <c r="Y33" s="111"/>
      <c r="Z33" s="111"/>
      <c r="AA33" s="111"/>
      <c r="AB33" s="111"/>
      <c r="AC33" s="111"/>
    </row>
    <row r="34" spans="1:29" ht="11.25" customHeight="1">
      <c r="F34" s="24"/>
      <c r="G34" s="24"/>
      <c r="H34" s="24"/>
      <c r="I34" s="24"/>
      <c r="J34" s="24"/>
      <c r="K34" s="24"/>
      <c r="Y34" s="24"/>
      <c r="Z34" s="24"/>
      <c r="AA34" s="24"/>
      <c r="AB34" s="24"/>
      <c r="AC34" s="24"/>
    </row>
    <row r="35" spans="1:29" ht="27" customHeight="1">
      <c r="H35" s="24"/>
      <c r="L35" s="399" t="s">
        <v>1510</v>
      </c>
      <c r="M35" s="1336" t="s">
        <v>1517</v>
      </c>
      <c r="N35" s="1336"/>
      <c r="O35" s="1336"/>
      <c r="P35" s="1336"/>
      <c r="Q35" s="1336"/>
      <c r="R35" s="1336"/>
      <c r="S35" s="1336"/>
      <c r="T35" s="1336"/>
      <c r="U35" s="1336"/>
      <c r="V35" s="1336"/>
      <c r="W35" s="1336"/>
      <c r="X35" s="1336"/>
    </row>
    <row r="36" spans="1:29" ht="104.25" customHeight="1">
      <c r="H36" s="24"/>
      <c r="M36" s="1336" t="s">
        <v>1512</v>
      </c>
      <c r="N36" s="1336"/>
      <c r="O36" s="1336"/>
      <c r="P36" s="1336"/>
      <c r="Q36" s="1336"/>
      <c r="R36" s="1336"/>
      <c r="S36" s="1336"/>
      <c r="T36" s="1336"/>
      <c r="U36" s="1336"/>
      <c r="V36" s="1336"/>
      <c r="W36" s="1336"/>
      <c r="X36" s="1336"/>
    </row>
    <row r="37" spans="1:29" ht="14.25" customHeight="1">
      <c r="H37" s="24"/>
    </row>
    <row r="38" spans="1:29" ht="14.25" customHeight="1">
      <c r="H38" s="24"/>
    </row>
    <row r="39" spans="1:29" ht="14.25" customHeight="1">
      <c r="H39" s="24"/>
    </row>
    <row r="40" spans="1:29" ht="14.25" customHeight="1">
      <c r="H40" s="24"/>
    </row>
  </sheetData>
  <sheetProtection formatColumns="0" formatRows="0" insertRows="0" deleteColumns="0" deleteRows="0" sort="0" autoFilter="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1800-000000000000}">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1800-000001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1800-000002000000}">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18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18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1800-000005000000}"/>
    <dataValidation allowBlank="1" promptTitle="checkPeriodRange" sqref="R26 R65562 R131098 R196634 R262170 R327706 R393242 R458778 R524314 R589850 R655386 R720922 R786458 R851994 R917530 R983066" xr:uid="{00000000-0002-0000-18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18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1E1803-0B64-46A4-E848-A2676FCFDFE5}">
  <sheetPr>
    <tabColor theme="6" tint="0.39997558519241921"/>
  </sheetPr>
  <dimension ref="A1:AC40"/>
  <sheetViews>
    <sheetView showGridLines="0" topLeftCell="A4" workbookViewId="0"/>
  </sheetViews>
  <sheetFormatPr defaultColWidth="10.5703125" defaultRowHeight="14.25" customHeight="1"/>
  <cols>
    <col min="1" max="1" width="10.5703125" style="24"/>
    <col min="2" max="2" width="11" style="24" customWidth="1"/>
    <col min="3" max="3" width="10.5703125" style="24"/>
    <col min="4" max="4" width="11.85546875" style="24" customWidth="1"/>
    <col min="5" max="5" width="12.28515625" style="24" customWidth="1"/>
    <col min="6" max="8" width="12.28515625" style="42" customWidth="1"/>
    <col min="9" max="9" width="3.7109375" style="42" customWidth="1"/>
    <col min="10" max="11" width="3.7109375" style="37" customWidth="1"/>
    <col min="12" max="12" width="12.7109375" style="368" customWidth="1"/>
    <col min="13" max="13" width="32" style="24" customWidth="1"/>
    <col min="14" max="14" width="1.7109375" style="24" customWidth="1"/>
    <col min="15" max="18" width="24.7109375" style="24" customWidth="1"/>
    <col min="19" max="19" width="11.7109375" style="24" customWidth="1"/>
    <col min="20" max="20" width="3.7109375" style="24" customWidth="1"/>
    <col min="21" max="21" width="11.7109375" style="24" customWidth="1"/>
    <col min="22" max="22" width="8.5703125" style="24" customWidth="1"/>
    <col min="23" max="23" width="4.7109375" style="24" customWidth="1"/>
    <col min="24" max="24" width="115.7109375" style="24" customWidth="1"/>
    <col min="25" max="26" width="10.5703125" style="77"/>
    <col min="27" max="27" width="11.140625" style="77" customWidth="1"/>
    <col min="28" max="29" width="10.5703125" style="77"/>
  </cols>
  <sheetData>
    <row r="1" spans="6:29" ht="14.25" hidden="1" customHeight="1"/>
    <row r="2" spans="6:29" ht="14.25" hidden="1" customHeight="1"/>
    <row r="3" spans="6:29" ht="14.25" hidden="1" customHeight="1"/>
    <row r="4" spans="6:29" ht="14.25" customHeight="1">
      <c r="J4" s="36"/>
      <c r="K4" s="36"/>
      <c r="L4" s="793"/>
      <c r="M4" s="25"/>
      <c r="N4" s="25"/>
    </row>
    <row r="5" spans="6:29" ht="64.5" customHeight="1">
      <c r="J5" s="36"/>
      <c r="K5" s="36"/>
      <c r="L5" s="1181" t="s">
        <v>415</v>
      </c>
      <c r="M5" s="1181"/>
      <c r="N5" s="1181"/>
      <c r="O5" s="1181"/>
      <c r="P5" s="1181"/>
      <c r="Q5" s="1181"/>
      <c r="R5" s="1181"/>
      <c r="S5" s="1181"/>
      <c r="T5" s="1181"/>
      <c r="U5" s="1181"/>
      <c r="V5" s="69"/>
    </row>
    <row r="6" spans="6:29" ht="14.25" customHeight="1">
      <c r="J6" s="36"/>
      <c r="K6" s="36"/>
      <c r="L6" s="1204" t="str">
        <f>IF(org=0,"Не определено",org)</f>
        <v>ООО "ТЕПЛО ПЛЮС"</v>
      </c>
      <c r="M6" s="1204"/>
      <c r="N6" s="1204"/>
      <c r="O6" s="1204"/>
      <c r="P6" s="1204"/>
      <c r="Q6" s="1204"/>
      <c r="R6" s="1204"/>
      <c r="S6" s="1204"/>
      <c r="T6" s="1204"/>
      <c r="U6" s="1204"/>
      <c r="V6" s="69"/>
    </row>
    <row r="7" spans="6:29" ht="14.25" customHeight="1">
      <c r="J7" s="36"/>
      <c r="K7" s="36"/>
      <c r="L7" s="793"/>
      <c r="M7" s="25"/>
      <c r="N7" s="25"/>
      <c r="O7" s="202"/>
      <c r="P7" s="202"/>
      <c r="Q7" s="202"/>
      <c r="R7" s="202"/>
      <c r="S7" s="202"/>
      <c r="T7" s="202"/>
      <c r="U7" s="202"/>
      <c r="V7" s="202"/>
    </row>
    <row r="8" spans="6:29" s="44" customFormat="1" ht="45" customHeight="1">
      <c r="F8" s="369"/>
      <c r="G8" s="369"/>
      <c r="H8" s="369"/>
      <c r="L8" s="794"/>
      <c r="M8" s="178" t="s">
        <v>39</v>
      </c>
      <c r="N8" s="183"/>
      <c r="O8" s="1330" t="str">
        <f>IF(TITLE_NAME_OR_PR_CHANGE="",IF(TITLE_NAME_OR_PR="","",TITLE_NAME_OR_PR),TITLE_NAME_OR_PR_CHANGE)</f>
        <v/>
      </c>
      <c r="P8" s="1330"/>
      <c r="Q8" s="1330"/>
      <c r="R8" s="1330"/>
      <c r="S8" s="1330"/>
      <c r="T8" s="1330"/>
      <c r="U8" s="1330"/>
      <c r="V8" s="24"/>
      <c r="W8" s="24"/>
      <c r="X8" s="171"/>
      <c r="Y8" s="79"/>
      <c r="Z8" s="79"/>
      <c r="AA8" s="79"/>
      <c r="AB8" s="79"/>
      <c r="AC8" s="79"/>
    </row>
    <row r="9" spans="6:29" s="44" customFormat="1" ht="22.5" customHeight="1">
      <c r="F9" s="369"/>
      <c r="G9" s="369"/>
      <c r="H9" s="369"/>
      <c r="L9" s="794"/>
      <c r="M9" s="178" t="s">
        <v>1485</v>
      </c>
      <c r="N9" s="183"/>
      <c r="O9" s="1330" t="str">
        <f>IF(TITLE_DATE_CHANGE_PERIOD="",IF(TITLE_DATE_PR="","",TITLE_DATE_PR),TITLE_DATE_CHANGE_PERIOD)</f>
        <v/>
      </c>
      <c r="P9" s="1330"/>
      <c r="Q9" s="1330"/>
      <c r="R9" s="1330"/>
      <c r="S9" s="1330"/>
      <c r="T9" s="1330"/>
      <c r="U9" s="1330"/>
      <c r="V9" s="24"/>
      <c r="W9" s="24"/>
      <c r="X9" s="171"/>
      <c r="Y9" s="79"/>
      <c r="Z9" s="79"/>
      <c r="AA9" s="79"/>
      <c r="AB9" s="79"/>
      <c r="AC9" s="79"/>
    </row>
    <row r="10" spans="6:29" s="44" customFormat="1" ht="22.5" customHeight="1">
      <c r="F10" s="369"/>
      <c r="G10" s="369"/>
      <c r="H10" s="369"/>
      <c r="L10" s="368"/>
      <c r="M10" s="178" t="s">
        <v>1486</v>
      </c>
      <c r="N10" s="183"/>
      <c r="O10" s="1330" t="str">
        <f>IF(TITLE_NUMBER_PR_CHANGE="",IF(TITLE_NUMBER_PR="","",TITLE_NUMBER_PR),TITLE_NUMBER_PR_CHANGE)</f>
        <v/>
      </c>
      <c r="P10" s="1330"/>
      <c r="Q10" s="1330"/>
      <c r="R10" s="1330"/>
      <c r="S10" s="1330"/>
      <c r="T10" s="1330"/>
      <c r="U10" s="1330"/>
      <c r="V10" s="24"/>
      <c r="W10" s="24"/>
      <c r="X10" s="171"/>
      <c r="Y10" s="79"/>
      <c r="Z10" s="79"/>
      <c r="AA10" s="79"/>
      <c r="AB10" s="79"/>
      <c r="AC10" s="79"/>
    </row>
    <row r="11" spans="6:29" s="44" customFormat="1" ht="22.5" customHeight="1">
      <c r="F11" s="369"/>
      <c r="G11" s="369"/>
      <c r="H11" s="369"/>
      <c r="L11" s="368"/>
      <c r="M11" s="178" t="s">
        <v>40</v>
      </c>
      <c r="N11" s="183"/>
      <c r="O11" s="1330" t="str">
        <f>IF(TITLE_IST_PUB_CHANGE="",IF(TITLE_IST_PUB="","",TITLE_IST_PUB),TITLE_IST_PUB_CHANGE)</f>
        <v/>
      </c>
      <c r="P11" s="1330"/>
      <c r="Q11" s="1330"/>
      <c r="R11" s="1330"/>
      <c r="S11" s="1330"/>
      <c r="T11" s="1330"/>
      <c r="U11" s="1330"/>
      <c r="V11" s="24"/>
      <c r="W11" s="24"/>
      <c r="X11" s="171"/>
      <c r="Y11" s="79"/>
      <c r="Z11" s="79"/>
      <c r="AA11" s="79"/>
      <c r="AB11" s="79"/>
      <c r="AC11" s="79"/>
    </row>
    <row r="12" spans="6:29" s="44" customFormat="1" ht="11.25" hidden="1" customHeight="1">
      <c r="F12" s="369"/>
      <c r="G12" s="369"/>
      <c r="H12" s="369"/>
      <c r="L12" s="1398"/>
      <c r="M12" s="1398"/>
      <c r="N12" s="87"/>
      <c r="O12" s="24"/>
      <c r="P12" s="24"/>
      <c r="Q12" s="24"/>
      <c r="R12" s="24"/>
      <c r="S12" s="24"/>
      <c r="T12" s="24"/>
      <c r="U12" s="24"/>
      <c r="V12" s="77" t="s">
        <v>1489</v>
      </c>
      <c r="Y12" s="79"/>
      <c r="Z12" s="79"/>
      <c r="AA12" s="79"/>
      <c r="AB12" s="79"/>
      <c r="AC12" s="79"/>
    </row>
    <row r="13" spans="6:29" ht="14.25" customHeight="1">
      <c r="J13" s="36"/>
      <c r="K13" s="36"/>
      <c r="L13" s="793"/>
      <c r="M13" s="25"/>
      <c r="N13" s="766"/>
      <c r="O13" s="1348"/>
      <c r="P13" s="1348"/>
      <c r="Q13" s="1348"/>
      <c r="R13" s="1348"/>
      <c r="S13" s="1348"/>
      <c r="T13" s="1348"/>
      <c r="U13" s="1348"/>
      <c r="V13" s="1348"/>
    </row>
    <row r="14" spans="6:29" ht="14.25" customHeight="1">
      <c r="J14" s="36"/>
      <c r="K14" s="36"/>
      <c r="L14" s="1123" t="s">
        <v>292</v>
      </c>
      <c r="M14" s="1123"/>
      <c r="N14" s="1123"/>
      <c r="O14" s="1123"/>
      <c r="P14" s="1123"/>
      <c r="Q14" s="1123"/>
      <c r="R14" s="1123"/>
      <c r="S14" s="1123"/>
      <c r="T14" s="1123"/>
      <c r="U14" s="1123"/>
      <c r="V14" s="1123"/>
      <c r="W14" s="1123"/>
      <c r="X14" s="1123" t="s">
        <v>293</v>
      </c>
    </row>
    <row r="15" spans="6:29" ht="14.25" customHeight="1">
      <c r="J15" s="36"/>
      <c r="K15" s="36"/>
      <c r="L15" s="1349" t="s">
        <v>88</v>
      </c>
      <c r="M15" s="1213" t="s">
        <v>1490</v>
      </c>
      <c r="N15" s="180"/>
      <c r="O15" s="1350" t="s">
        <v>1555</v>
      </c>
      <c r="P15" s="1351"/>
      <c r="Q15" s="1351"/>
      <c r="R15" s="1351"/>
      <c r="S15" s="1351"/>
      <c r="T15" s="1351"/>
      <c r="U15" s="1352"/>
      <c r="V15" s="1353" t="s">
        <v>1492</v>
      </c>
      <c r="W15" s="1356" t="s">
        <v>1556</v>
      </c>
      <c r="X15" s="1123"/>
    </row>
    <row r="16" spans="6:29" ht="33.75" customHeight="1">
      <c r="J16" s="36"/>
      <c r="K16" s="36"/>
      <c r="L16" s="1349"/>
      <c r="M16" s="1213"/>
      <c r="N16" s="647"/>
      <c r="O16" s="1182" t="s">
        <v>1495</v>
      </c>
      <c r="P16" s="1182" t="s">
        <v>1496</v>
      </c>
      <c r="Q16" s="1105" t="s">
        <v>1497</v>
      </c>
      <c r="R16" s="1104"/>
      <c r="S16" s="1105" t="s">
        <v>1516</v>
      </c>
      <c r="T16" s="1110"/>
      <c r="U16" s="1104"/>
      <c r="V16" s="1354"/>
      <c r="W16" s="1357"/>
      <c r="X16" s="1123"/>
    </row>
    <row r="17" spans="1:29" ht="33.75" customHeight="1">
      <c r="A17" s="369" t="s">
        <v>135</v>
      </c>
      <c r="B17" s="369" t="s">
        <v>136</v>
      </c>
      <c r="C17" s="369" t="s">
        <v>137</v>
      </c>
      <c r="D17" s="369" t="s">
        <v>138</v>
      </c>
      <c r="E17" s="369"/>
      <c r="J17" s="36"/>
      <c r="K17" s="36"/>
      <c r="L17" s="1349"/>
      <c r="M17" s="1213"/>
      <c r="N17" s="181"/>
      <c r="O17" s="1238"/>
      <c r="P17" s="1238"/>
      <c r="Q17" s="48" t="s">
        <v>1506</v>
      </c>
      <c r="R17" s="48" t="s">
        <v>1507</v>
      </c>
      <c r="S17" s="48" t="s">
        <v>1508</v>
      </c>
      <c r="T17" s="1219" t="s">
        <v>1509</v>
      </c>
      <c r="U17" s="1233"/>
      <c r="V17" s="1355"/>
      <c r="W17" s="1358"/>
      <c r="X17" s="1123"/>
    </row>
    <row r="18" spans="1:29" s="216" customFormat="1" ht="11.25" customHeight="1">
      <c r="A18" s="369"/>
      <c r="B18" s="369"/>
      <c r="C18" s="369"/>
      <c r="D18" s="369"/>
      <c r="E18" s="369"/>
      <c r="F18" s="42"/>
      <c r="G18" s="42"/>
      <c r="H18" s="42"/>
      <c r="I18" s="768"/>
      <c r="J18" s="769"/>
      <c r="K18" s="777">
        <v>1</v>
      </c>
      <c r="L18" s="795" t="s">
        <v>109</v>
      </c>
      <c r="M18" s="778" t="s">
        <v>110</v>
      </c>
      <c r="N18" s="767" t="str">
        <f ca="1">OFFSET(N18,0,-1)</f>
        <v>2</v>
      </c>
      <c r="O18" s="779">
        <f ca="1">OFFSET(O18,0,-1)+1</f>
        <v>3</v>
      </c>
      <c r="P18" s="779"/>
      <c r="Q18" s="779">
        <f ca="1">OFFSET(Q18,0,-1)+1</f>
        <v>1</v>
      </c>
      <c r="R18" s="779">
        <f ca="1">OFFSET(R18,0,-1)+1</f>
        <v>2</v>
      </c>
      <c r="S18" s="779">
        <f ca="1">OFFSET(S18,0,-1)+1</f>
        <v>3</v>
      </c>
      <c r="T18" s="1347">
        <f ca="1">OFFSET(T18,0,-1)+1</f>
        <v>4</v>
      </c>
      <c r="U18" s="1347"/>
      <c r="V18" s="779">
        <f ca="1">OFFSET(V18,0,-2)+1</f>
        <v>5</v>
      </c>
      <c r="W18" s="767">
        <f ca="1">OFFSET(W18,0,-1)</f>
        <v>5</v>
      </c>
      <c r="X18" s="779">
        <f ca="1">OFFSET(X18,0,-1)+1</f>
        <v>6</v>
      </c>
      <c r="Y18" s="77"/>
      <c r="Z18" s="77"/>
      <c r="AA18" s="77"/>
      <c r="AB18" s="77"/>
      <c r="AC18" s="77"/>
    </row>
    <row r="19" spans="1:29" ht="21" customHeight="1">
      <c r="A19" s="785" t="s">
        <v>1565</v>
      </c>
      <c r="B19" s="785" t="s">
        <v>1566</v>
      </c>
      <c r="C19" s="785" t="s">
        <v>1567</v>
      </c>
      <c r="D19" s="785" t="s">
        <v>1568</v>
      </c>
      <c r="E19" s="785"/>
      <c r="F19" s="368"/>
      <c r="G19" s="368"/>
      <c r="H19" s="368"/>
      <c r="J19" s="43"/>
      <c r="K19" s="220"/>
      <c r="L19" s="755" t="e">
        <f>INDEX(PT_DIFFERENTIATION_NUM_NTAR,MATCH(A19,PT_DIFFERENTIATION_NTAR_ID,0))</f>
        <v>#N/A</v>
      </c>
      <c r="M19" s="76" t="s">
        <v>124</v>
      </c>
      <c r="N19" s="179"/>
      <c r="O19" s="1393" t="e">
        <f>INDEX(PT_DIFFERENTIATION_NTAR,MATCH(A19,PT_DIFFERENTIATION_NTAR_ID,0))</f>
        <v>#N/A</v>
      </c>
      <c r="P19" s="1393"/>
      <c r="Q19" s="1393"/>
      <c r="R19" s="1393"/>
      <c r="S19" s="1393"/>
      <c r="T19" s="1393"/>
      <c r="U19" s="1393"/>
      <c r="V19" s="1393"/>
      <c r="W19" s="1393"/>
      <c r="X19" s="782" t="s">
        <v>1461</v>
      </c>
      <c r="Z19" s="79"/>
      <c r="AA19" s="79" t="str">
        <f t="shared" ref="AA19:AA32" si="0">IF(M19="","",M19)</f>
        <v>Наименование тарифа</v>
      </c>
      <c r="AB19" s="79"/>
      <c r="AC19" s="79"/>
    </row>
    <row r="20" spans="1:29" ht="21" customHeight="1">
      <c r="A20" s="785" t="s">
        <v>1565</v>
      </c>
      <c r="B20" s="785" t="s">
        <v>1566</v>
      </c>
      <c r="C20" s="785" t="s">
        <v>1567</v>
      </c>
      <c r="D20" s="785" t="s">
        <v>1568</v>
      </c>
      <c r="E20" s="785"/>
      <c r="F20" s="368"/>
      <c r="G20" s="368"/>
      <c r="H20" s="368"/>
      <c r="I20" s="68"/>
      <c r="J20" s="217"/>
      <c r="K20" s="218"/>
      <c r="L20" s="755" t="e">
        <f>INDEX(PT_DIFFERENTIATION_NUM_TER,MATCH(B19,PT_DIFFERENTIATION_TER_ID,0))</f>
        <v>#N/A</v>
      </c>
      <c r="M20" s="187" t="s">
        <v>1462</v>
      </c>
      <c r="N20" s="179"/>
      <c r="O20" s="1393" t="e">
        <f>INDEX(PT_DIFFERENTIATION_TER,MATCH(B19,PT_DIFFERENTIATION_TER_ID,0))</f>
        <v>#N/A</v>
      </c>
      <c r="P20" s="1393"/>
      <c r="Q20" s="1393"/>
      <c r="R20" s="1393"/>
      <c r="S20" s="1393"/>
      <c r="T20" s="1393"/>
      <c r="U20" s="1393"/>
      <c r="V20" s="1393"/>
      <c r="W20" s="1393"/>
      <c r="X20" s="782" t="s">
        <v>1463</v>
      </c>
      <c r="Z20" s="79"/>
      <c r="AA20" s="79" t="str">
        <f t="shared" si="0"/>
        <v>Территория действия тарифа</v>
      </c>
      <c r="AB20" s="79"/>
      <c r="AC20" s="79"/>
    </row>
    <row r="21" spans="1:29" ht="22.5" customHeight="1">
      <c r="A21" s="785" t="s">
        <v>1565</v>
      </c>
      <c r="B21" s="785" t="s">
        <v>1566</v>
      </c>
      <c r="C21" s="785" t="s">
        <v>1567</v>
      </c>
      <c r="D21" s="785" t="s">
        <v>1568</v>
      </c>
      <c r="E21" s="785"/>
      <c r="F21" s="368"/>
      <c r="G21" s="368"/>
      <c r="H21" s="368"/>
      <c r="I21" s="219"/>
      <c r="J21" s="217"/>
      <c r="K21" s="218"/>
      <c r="L21" s="755" t="e">
        <f>INDEX(PT_DIFFERENTIATION_NUM_CS,MATCH(C19,PT_DIFFERENTIATION_CS_ID,0))</f>
        <v>#N/A</v>
      </c>
      <c r="M21" s="188" t="s">
        <v>1464</v>
      </c>
      <c r="N21" s="179"/>
      <c r="O21" s="1393" t="e">
        <f>INDEX(PT_DIFFERENTIATION_CS,MATCH(C19,PT_DIFFERENTIATION_CS_ID,0))</f>
        <v>#N/A</v>
      </c>
      <c r="P21" s="1393"/>
      <c r="Q21" s="1393"/>
      <c r="R21" s="1393"/>
      <c r="S21" s="1393"/>
      <c r="T21" s="1393"/>
      <c r="U21" s="1393"/>
      <c r="V21" s="1393"/>
      <c r="W21" s="1393"/>
      <c r="X21" s="782" t="s">
        <v>1465</v>
      </c>
      <c r="Z21" s="79"/>
      <c r="AA21" s="79" t="str">
        <f t="shared" si="0"/>
        <v xml:space="preserve">Наименование системы теплоснабжения </v>
      </c>
      <c r="AB21" s="79"/>
      <c r="AC21" s="79"/>
    </row>
    <row r="22" spans="1:29" ht="21" customHeight="1">
      <c r="A22" s="785" t="s">
        <v>1565</v>
      </c>
      <c r="B22" s="785" t="s">
        <v>1566</v>
      </c>
      <c r="C22" s="785" t="s">
        <v>1567</v>
      </c>
      <c r="D22" s="785" t="s">
        <v>1568</v>
      </c>
      <c r="E22" s="785"/>
      <c r="F22" s="368"/>
      <c r="G22" s="368"/>
      <c r="H22" s="368"/>
      <c r="I22" s="219"/>
      <c r="J22" s="217"/>
      <c r="K22" s="218"/>
      <c r="L22" s="755" t="e">
        <f>INDEX(PT_DIFFERENTIATION_NUM_IST_TE,MATCH(D19,PT_DIFFERENTIATION_IST_TE_ID,0))</f>
        <v>#N/A</v>
      </c>
      <c r="M22" s="189" t="s">
        <v>1466</v>
      </c>
      <c r="N22" s="179"/>
      <c r="O22" s="1393" t="e">
        <f>INDEX(PT_DIFFERENTIATION_IST_TE,MATCH(D19,PT_DIFFERENTIATION_IST_TE_ID,0))</f>
        <v>#N/A</v>
      </c>
      <c r="P22" s="1393"/>
      <c r="Q22" s="1393"/>
      <c r="R22" s="1393"/>
      <c r="S22" s="1393"/>
      <c r="T22" s="1393"/>
      <c r="U22" s="1393"/>
      <c r="V22" s="1393"/>
      <c r="W22" s="1393"/>
      <c r="X22" s="782" t="s">
        <v>1467</v>
      </c>
      <c r="Z22" s="79"/>
      <c r="AA22" s="79" t="str">
        <f t="shared" si="0"/>
        <v xml:space="preserve">Источник тепловой энергии  </v>
      </c>
      <c r="AB22" s="79"/>
      <c r="AC22" s="79"/>
    </row>
    <row r="23" spans="1:29" ht="94.5" customHeight="1">
      <c r="A23" s="785" t="s">
        <v>1565</v>
      </c>
      <c r="B23" s="785" t="s">
        <v>1566</v>
      </c>
      <c r="C23" s="785" t="s">
        <v>1567</v>
      </c>
      <c r="D23" s="785" t="s">
        <v>1568</v>
      </c>
      <c r="E23" s="785"/>
      <c r="F23" s="1108" t="e">
        <f>L22&amp;".1"</f>
        <v>#N/A</v>
      </c>
      <c r="I23" s="1259">
        <v>1</v>
      </c>
      <c r="J23" s="127"/>
      <c r="K23" s="221"/>
      <c r="L23" s="755" t="e">
        <f>$F$23</f>
        <v>#N/A</v>
      </c>
      <c r="M23" s="172" t="s">
        <v>1469</v>
      </c>
      <c r="N23" s="179"/>
      <c r="O23" s="1394"/>
      <c r="P23" s="1394"/>
      <c r="Q23" s="1394"/>
      <c r="R23" s="1394"/>
      <c r="S23" s="1394"/>
      <c r="T23" s="1394"/>
      <c r="U23" s="1394"/>
      <c r="V23" s="1394"/>
      <c r="W23" s="1394"/>
      <c r="X23" s="782" t="s">
        <v>1470</v>
      </c>
      <c r="Z23" s="79"/>
      <c r="AA23" s="79" t="str">
        <f t="shared" si="0"/>
        <v>Схема подключения теплопотребляющей установки к коллектору источника тепловой энергии</v>
      </c>
      <c r="AB23" s="79"/>
      <c r="AC23" s="79"/>
    </row>
    <row r="24" spans="1:29" ht="84" customHeight="1">
      <c r="A24" s="785" t="s">
        <v>1565</v>
      </c>
      <c r="B24" s="785" t="s">
        <v>1566</v>
      </c>
      <c r="C24" s="785" t="s">
        <v>1567</v>
      </c>
      <c r="D24" s="785" t="s">
        <v>1568</v>
      </c>
      <c r="E24" s="785"/>
      <c r="F24" s="1108"/>
      <c r="G24" s="1108" t="e">
        <f>F23&amp;".1"</f>
        <v>#N/A</v>
      </c>
      <c r="I24" s="1259"/>
      <c r="J24" s="1259">
        <v>1</v>
      </c>
      <c r="K24" s="222"/>
      <c r="L24" s="755" t="e">
        <f>$G$24</f>
        <v>#N/A</v>
      </c>
      <c r="M24" s="173" t="s">
        <v>1472</v>
      </c>
      <c r="N24" s="179"/>
      <c r="O24" s="1395"/>
      <c r="P24" s="1396"/>
      <c r="Q24" s="1396"/>
      <c r="R24" s="1396"/>
      <c r="S24" s="1396"/>
      <c r="T24" s="1396"/>
      <c r="U24" s="1396"/>
      <c r="V24" s="1396"/>
      <c r="W24" s="1397"/>
      <c r="X24" s="782" t="s">
        <v>1473</v>
      </c>
      <c r="Z24" s="79"/>
      <c r="AA24" s="79" t="str">
        <f t="shared" si="0"/>
        <v>Группа потребителей</v>
      </c>
      <c r="AB24" s="79"/>
      <c r="AC24" s="79"/>
    </row>
    <row r="25" spans="1:29" ht="11.25" customHeight="1">
      <c r="A25" s="785" t="s">
        <v>1565</v>
      </c>
      <c r="B25" s="785" t="s">
        <v>1566</v>
      </c>
      <c r="C25" s="785" t="s">
        <v>1567</v>
      </c>
      <c r="D25" s="785" t="s">
        <v>1568</v>
      </c>
      <c r="E25" s="785"/>
      <c r="F25" s="1108"/>
      <c r="G25" s="1108"/>
      <c r="H25" s="1108" t="e">
        <f>G24&amp;".1"</f>
        <v>#N/A</v>
      </c>
      <c r="I25" s="1259"/>
      <c r="J25" s="1259"/>
      <c r="K25" s="222">
        <v>1</v>
      </c>
      <c r="L25" s="755" t="e">
        <f>$H$25</f>
        <v>#N/A</v>
      </c>
      <c r="M25" s="783"/>
      <c r="N25" s="179"/>
      <c r="O25" s="1054"/>
      <c r="P25" s="1055"/>
      <c r="Q25" s="1054"/>
      <c r="R25" s="1056"/>
      <c r="S25" s="1341"/>
      <c r="T25" s="1133" t="s">
        <v>67</v>
      </c>
      <c r="U25" s="1341"/>
      <c r="V25" s="1133" t="s">
        <v>57</v>
      </c>
      <c r="W25" s="1055"/>
      <c r="X25" s="1359" t="s">
        <v>1475</v>
      </c>
      <c r="Y25" s="77" t="e">
        <f ca="1">STRCHECKDATE(O26:W26)</f>
        <v>#NAME?</v>
      </c>
      <c r="Z25" s="79"/>
      <c r="AA25" s="79" t="str">
        <f t="shared" si="0"/>
        <v/>
      </c>
      <c r="AB25" s="79"/>
      <c r="AC25" s="79"/>
    </row>
    <row r="26" spans="1:29" ht="11.25" customHeight="1">
      <c r="A26" s="785" t="s">
        <v>1565</v>
      </c>
      <c r="B26" s="785" t="s">
        <v>1566</v>
      </c>
      <c r="C26" s="785" t="s">
        <v>1567</v>
      </c>
      <c r="D26" s="785" t="s">
        <v>1568</v>
      </c>
      <c r="E26" s="785"/>
      <c r="F26" s="1108"/>
      <c r="G26" s="1108"/>
      <c r="H26" s="1108"/>
      <c r="I26" s="1259"/>
      <c r="J26" s="1259"/>
      <c r="K26" s="222"/>
      <c r="L26" s="74"/>
      <c r="M26" s="179"/>
      <c r="N26" s="179"/>
      <c r="O26" s="1055"/>
      <c r="P26" s="1055"/>
      <c r="Q26" s="1055"/>
      <c r="R26" s="1057" t="str">
        <f>S25&amp;"-"&amp;U25</f>
        <v>-</v>
      </c>
      <c r="S26" s="1342"/>
      <c r="T26" s="1133"/>
      <c r="U26" s="1342"/>
      <c r="V26" s="1133"/>
      <c r="W26" s="1055"/>
      <c r="X26" s="1360"/>
      <c r="Z26" s="79"/>
      <c r="AA26" s="79" t="str">
        <f t="shared" si="0"/>
        <v/>
      </c>
      <c r="AB26" s="79"/>
      <c r="AC26" s="79"/>
    </row>
    <row r="27" spans="1:29" ht="15" customHeight="1">
      <c r="A27" s="785" t="s">
        <v>1565</v>
      </c>
      <c r="B27" s="785" t="s">
        <v>1566</v>
      </c>
      <c r="C27" s="785" t="s">
        <v>1567</v>
      </c>
      <c r="D27" s="785" t="s">
        <v>1568</v>
      </c>
      <c r="E27" s="785"/>
      <c r="F27" s="1108"/>
      <c r="G27" s="1108"/>
      <c r="I27" s="1259"/>
      <c r="J27" s="1259"/>
      <c r="K27" s="221"/>
      <c r="L27" s="796"/>
      <c r="M27" s="175" t="s">
        <v>1476</v>
      </c>
      <c r="N27" s="228"/>
      <c r="O27" s="228"/>
      <c r="P27" s="228"/>
      <c r="Q27" s="228"/>
      <c r="R27" s="228"/>
      <c r="S27" s="228"/>
      <c r="T27" s="228"/>
      <c r="U27" s="228"/>
      <c r="V27" s="228"/>
      <c r="W27" s="204"/>
      <c r="X27" s="1361"/>
      <c r="Z27" s="79"/>
      <c r="AA27" s="79" t="str">
        <f t="shared" si="0"/>
        <v>Добавить вид теплоносителя (параметры теплоносителя)</v>
      </c>
      <c r="AB27" s="79"/>
      <c r="AC27" s="79"/>
    </row>
    <row r="28" spans="1:29" ht="15" customHeight="1">
      <c r="A28" s="785" t="s">
        <v>1565</v>
      </c>
      <c r="B28" s="785" t="s">
        <v>1566</v>
      </c>
      <c r="C28" s="785" t="s">
        <v>1567</v>
      </c>
      <c r="D28" s="785" t="s">
        <v>1568</v>
      </c>
      <c r="E28" s="785"/>
      <c r="F28" s="1108"/>
      <c r="I28" s="1259"/>
      <c r="J28" s="127"/>
      <c r="K28" s="221"/>
      <c r="L28" s="796"/>
      <c r="M28" s="174" t="s">
        <v>1477</v>
      </c>
      <c r="N28" s="228"/>
      <c r="O28" s="228"/>
      <c r="P28" s="228"/>
      <c r="Q28" s="228"/>
      <c r="R28" s="228"/>
      <c r="S28" s="228"/>
      <c r="T28" s="228"/>
      <c r="U28" s="228"/>
      <c r="V28" s="205"/>
      <c r="W28" s="228"/>
      <c r="X28" s="182"/>
      <c r="Z28" s="79"/>
      <c r="AA28" s="79" t="str">
        <f t="shared" si="0"/>
        <v>Добавить группу потребителей</v>
      </c>
      <c r="AB28" s="79"/>
      <c r="AC28" s="79"/>
    </row>
    <row r="29" spans="1:29" ht="14.25" customHeight="1">
      <c r="A29" s="785" t="s">
        <v>1565</v>
      </c>
      <c r="B29" s="785" t="s">
        <v>1566</v>
      </c>
      <c r="C29" s="785" t="s">
        <v>1567</v>
      </c>
      <c r="D29" s="785" t="s">
        <v>1568</v>
      </c>
      <c r="E29" s="785"/>
      <c r="F29" s="368"/>
      <c r="G29" s="368"/>
      <c r="H29" s="24"/>
      <c r="I29" s="43"/>
      <c r="J29" s="231"/>
      <c r="K29" s="220"/>
      <c r="L29" s="796"/>
      <c r="M29" s="226" t="s">
        <v>1478</v>
      </c>
      <c r="N29" s="228"/>
      <c r="O29" s="228"/>
      <c r="P29" s="228"/>
      <c r="Q29" s="228"/>
      <c r="R29" s="228"/>
      <c r="S29" s="228"/>
      <c r="T29" s="228"/>
      <c r="U29" s="228"/>
      <c r="V29" s="205"/>
      <c r="W29" s="228"/>
      <c r="X29" s="182"/>
      <c r="Z29" s="79"/>
      <c r="AA29" s="79" t="str">
        <f t="shared" si="0"/>
        <v>Добавить схему подключения</v>
      </c>
      <c r="AB29" s="79"/>
      <c r="AC29" s="79"/>
    </row>
    <row r="30" spans="1:29" ht="14.25" customHeight="1">
      <c r="A30" s="785" t="s">
        <v>1565</v>
      </c>
      <c r="B30" s="785" t="s">
        <v>1566</v>
      </c>
      <c r="C30" s="785" t="s">
        <v>1567</v>
      </c>
      <c r="D30" s="785"/>
      <c r="E30" s="785" t="s">
        <v>1557</v>
      </c>
      <c r="F30" s="368"/>
      <c r="G30" s="368"/>
      <c r="H30" s="24"/>
      <c r="I30" s="43"/>
      <c r="J30" s="231"/>
      <c r="K30" s="220"/>
      <c r="L30" s="797"/>
      <c r="M30" s="786"/>
      <c r="N30" s="787"/>
      <c r="O30" s="787"/>
      <c r="P30" s="787"/>
      <c r="Q30" s="787"/>
      <c r="R30" s="787"/>
      <c r="S30" s="787"/>
      <c r="T30" s="787"/>
      <c r="U30" s="787"/>
      <c r="V30" s="788"/>
      <c r="W30" s="787"/>
      <c r="X30" s="789"/>
      <c r="Z30" s="79"/>
      <c r="AA30" s="79" t="str">
        <f t="shared" si="0"/>
        <v/>
      </c>
      <c r="AB30" s="79"/>
      <c r="AC30" s="79"/>
    </row>
    <row r="31" spans="1:29" ht="14.25" customHeight="1">
      <c r="A31" s="785" t="s">
        <v>1565</v>
      </c>
      <c r="B31" s="785" t="s">
        <v>1566</v>
      </c>
      <c r="C31" s="785"/>
      <c r="D31" s="785"/>
      <c r="E31" s="785" t="s">
        <v>1558</v>
      </c>
      <c r="F31" s="780"/>
      <c r="G31" s="780"/>
      <c r="H31" s="24"/>
      <c r="I31" s="56"/>
      <c r="J31" s="231"/>
      <c r="K31" s="223"/>
      <c r="L31" s="797"/>
      <c r="M31" s="790"/>
      <c r="N31" s="787"/>
      <c r="O31" s="787"/>
      <c r="P31" s="787"/>
      <c r="Q31" s="787"/>
      <c r="R31" s="787"/>
      <c r="S31" s="787"/>
      <c r="T31" s="787"/>
      <c r="U31" s="787"/>
      <c r="V31" s="788"/>
      <c r="W31" s="787"/>
      <c r="X31" s="789"/>
      <c r="Z31" s="79"/>
      <c r="AA31" s="79" t="str">
        <f t="shared" si="0"/>
        <v/>
      </c>
      <c r="AB31" s="79"/>
      <c r="AC31" s="79"/>
    </row>
    <row r="32" spans="1:29" ht="14.25" customHeight="1">
      <c r="A32" s="785" t="s">
        <v>1569</v>
      </c>
      <c r="B32" s="785"/>
      <c r="C32" s="785"/>
      <c r="D32" s="785"/>
      <c r="E32" s="785" t="s">
        <v>104</v>
      </c>
      <c r="F32" s="780"/>
      <c r="G32" s="780"/>
      <c r="H32" s="24"/>
      <c r="I32" s="43"/>
      <c r="J32" s="231"/>
      <c r="K32" s="220"/>
      <c r="L32" s="797"/>
      <c r="M32" s="791"/>
      <c r="N32" s="787"/>
      <c r="O32" s="787"/>
      <c r="P32" s="787"/>
      <c r="Q32" s="787"/>
      <c r="R32" s="787"/>
      <c r="S32" s="787"/>
      <c r="T32" s="787"/>
      <c r="U32" s="787"/>
      <c r="V32" s="788"/>
      <c r="W32" s="787"/>
      <c r="X32" s="789"/>
      <c r="Z32" s="79"/>
      <c r="AA32" s="79" t="str">
        <f t="shared" si="0"/>
        <v/>
      </c>
      <c r="AB32" s="79"/>
      <c r="AC32" s="79"/>
    </row>
    <row r="33" spans="1:29" ht="11.25" customHeight="1">
      <c r="A33" s="785"/>
      <c r="B33" s="785"/>
      <c r="C33" s="785"/>
      <c r="D33" s="785"/>
      <c r="E33" s="785" t="s">
        <v>1440</v>
      </c>
      <c r="F33" s="780"/>
      <c r="G33" s="781"/>
      <c r="H33" s="24"/>
      <c r="I33"/>
      <c r="J33"/>
      <c r="K33"/>
      <c r="L33" s="798"/>
      <c r="M33" s="792"/>
      <c r="N33" s="787"/>
      <c r="O33" s="787"/>
      <c r="P33" s="787"/>
      <c r="Q33" s="787"/>
      <c r="R33" s="787"/>
      <c r="S33" s="787"/>
      <c r="T33" s="787"/>
      <c r="U33" s="787"/>
      <c r="V33" s="788"/>
      <c r="W33" s="787"/>
      <c r="X33" s="789"/>
      <c r="Y33" s="111"/>
      <c r="Z33" s="111"/>
      <c r="AA33" s="111"/>
      <c r="AB33" s="111"/>
      <c r="AC33" s="111"/>
    </row>
    <row r="34" spans="1:29" ht="11.25" customHeight="1">
      <c r="F34" s="24"/>
      <c r="G34" s="24"/>
      <c r="H34" s="24"/>
      <c r="I34" s="24"/>
      <c r="J34" s="24"/>
      <c r="K34" s="24"/>
      <c r="Y34" s="24"/>
      <c r="Z34" s="24"/>
      <c r="AA34" s="24"/>
      <c r="AB34" s="24"/>
      <c r="AC34" s="24"/>
    </row>
    <row r="35" spans="1:29" ht="27" customHeight="1">
      <c r="H35" s="24"/>
      <c r="L35" s="399" t="s">
        <v>1510</v>
      </c>
      <c r="M35" s="1336" t="s">
        <v>1517</v>
      </c>
      <c r="N35" s="1336"/>
      <c r="O35" s="1336"/>
      <c r="P35" s="1336"/>
      <c r="Q35" s="1336"/>
      <c r="R35" s="1336"/>
      <c r="S35" s="1336"/>
      <c r="T35" s="1336"/>
      <c r="U35" s="1336"/>
      <c r="V35" s="1336"/>
      <c r="W35" s="1336"/>
      <c r="X35" s="1336"/>
    </row>
    <row r="36" spans="1:29" ht="104.25" customHeight="1">
      <c r="H36" s="24"/>
      <c r="M36" s="1336" t="s">
        <v>1512</v>
      </c>
      <c r="N36" s="1336"/>
      <c r="O36" s="1336"/>
      <c r="P36" s="1336"/>
      <c r="Q36" s="1336"/>
      <c r="R36" s="1336"/>
      <c r="S36" s="1336"/>
      <c r="T36" s="1336"/>
      <c r="U36" s="1336"/>
      <c r="V36" s="1336"/>
      <c r="W36" s="1336"/>
      <c r="X36" s="1336"/>
    </row>
    <row r="37" spans="1:29" ht="14.25" customHeight="1">
      <c r="H37" s="24"/>
    </row>
    <row r="38" spans="1:29" ht="14.25" customHeight="1">
      <c r="H38" s="24"/>
    </row>
    <row r="39" spans="1:29" ht="14.25" customHeight="1">
      <c r="H39" s="24"/>
    </row>
    <row r="40" spans="1:29" ht="14.25" customHeight="1">
      <c r="H40" s="24"/>
    </row>
  </sheetData>
  <sheetProtection formatColumns="0" formatRows="0" insertRows="0" deleteColumns="0" deleteRows="0" sort="0" autoFilter="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1900-000000000000}"/>
    <dataValidation allowBlank="1" promptTitle="checkPeriodRange" sqref="R26 R65562 R131098 R196634 R262170 R327706 R393242 R458778 R524314 R589850 R655386 R720922 R786458 R851994 R917530 R983066" xr:uid="{00000000-0002-0000-19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19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19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1900-000004000000}">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1900-000005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1900-000006000000}">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19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E52117-4C8A-5842-BF2A-0D90C8014382}">
  <sheetPr>
    <tabColor theme="6" tint="0.39997558519241921"/>
  </sheetPr>
  <dimension ref="A1:AC32"/>
  <sheetViews>
    <sheetView showGridLines="0" topLeftCell="A4" workbookViewId="0"/>
  </sheetViews>
  <sheetFormatPr defaultColWidth="10.5703125" defaultRowHeight="14.25" customHeight="1"/>
  <cols>
    <col min="1" max="6" width="10.5703125" style="77"/>
    <col min="7" max="8" width="9.140625" style="235" customWidth="1"/>
    <col min="9" max="9" width="3.7109375" style="42" customWidth="1"/>
    <col min="10" max="11" width="3.7109375" style="37" customWidth="1"/>
    <col min="12" max="12" width="12.7109375" style="24" customWidth="1"/>
    <col min="13" max="13" width="47.42578125" style="24" customWidth="1"/>
    <col min="14" max="14" width="2.7109375" style="24" hidden="1" customWidth="1"/>
    <col min="15" max="18" width="23.7109375" style="24" customWidth="1"/>
    <col min="19" max="19" width="11.7109375" style="24" customWidth="1"/>
    <col min="20" max="20" width="3.7109375" style="24" customWidth="1"/>
    <col min="21" max="21" width="11.7109375" style="24" customWidth="1"/>
    <col min="22" max="22" width="8.5703125" style="24" hidden="1" customWidth="1"/>
    <col min="23" max="23" width="4.7109375" style="24" customWidth="1"/>
    <col min="24" max="24" width="115.7109375" style="24" customWidth="1"/>
    <col min="25" max="29" width="10.5703125" style="77"/>
  </cols>
  <sheetData>
    <row r="1" spans="1:29" ht="14.25" hidden="1" customHeight="1"/>
    <row r="2" spans="1:29" ht="14.25" hidden="1" customHeight="1"/>
    <row r="3" spans="1:29" ht="14.25" hidden="1" customHeight="1"/>
    <row r="4" spans="1:29" ht="14.25" customHeight="1">
      <c r="J4" s="36"/>
      <c r="K4" s="36"/>
      <c r="L4" s="25"/>
      <c r="M4" s="25"/>
      <c r="N4" s="25"/>
      <c r="V4" s="25"/>
    </row>
    <row r="5" spans="1:29" ht="14.25" customHeight="1">
      <c r="J5" s="36"/>
      <c r="K5" s="36"/>
      <c r="L5" s="1403" t="s">
        <v>1570</v>
      </c>
      <c r="M5" s="1403"/>
      <c r="N5" s="1403"/>
      <c r="O5" s="1403"/>
      <c r="P5" s="1403"/>
      <c r="Q5" s="1403"/>
      <c r="R5" s="1403"/>
      <c r="S5" s="1403"/>
      <c r="T5" s="1403"/>
      <c r="U5" s="169"/>
      <c r="V5" s="169"/>
    </row>
    <row r="6" spans="1:29" ht="14.25" customHeight="1">
      <c r="J6" s="36"/>
      <c r="K6" s="36"/>
      <c r="L6" s="25"/>
      <c r="M6" s="25"/>
      <c r="N6" s="25"/>
      <c r="O6" s="202"/>
      <c r="P6" s="202"/>
      <c r="Q6" s="202"/>
      <c r="R6" s="202"/>
      <c r="S6" s="202"/>
      <c r="T6" s="202"/>
      <c r="U6" s="25"/>
    </row>
    <row r="7" spans="1:29" s="44" customFormat="1" ht="22.5" customHeight="1">
      <c r="A7" s="79"/>
      <c r="B7" s="79"/>
      <c r="C7" s="79"/>
      <c r="D7" s="79"/>
      <c r="E7" s="79"/>
      <c r="F7" s="79"/>
      <c r="G7" s="79"/>
      <c r="H7" s="79"/>
      <c r="L7" s="170"/>
      <c r="M7" s="178" t="s">
        <v>39</v>
      </c>
      <c r="N7" s="183"/>
      <c r="O7" s="1404" t="e">
        <f>IF(NameOrPr_ch="",IF(NameOrPr="","",NameOrPr),NameOrPr_ch)</f>
        <v>#NAME?</v>
      </c>
      <c r="P7" s="1405"/>
      <c r="Q7" s="1405"/>
      <c r="R7" s="1405"/>
      <c r="S7" s="1405"/>
      <c r="T7" s="1406"/>
      <c r="U7" s="770"/>
      <c r="Y7" s="79"/>
      <c r="Z7" s="79"/>
      <c r="AA7" s="79"/>
      <c r="AB7" s="79"/>
      <c r="AC7" s="79"/>
    </row>
    <row r="8" spans="1:29" s="44" customFormat="1" ht="18.75" customHeight="1">
      <c r="A8" s="79"/>
      <c r="B8" s="79"/>
      <c r="C8" s="79"/>
      <c r="D8" s="79"/>
      <c r="E8" s="79"/>
      <c r="F8" s="79"/>
      <c r="G8" s="79"/>
      <c r="H8" s="79"/>
      <c r="L8" s="170"/>
      <c r="M8" s="178" t="s">
        <v>1485</v>
      </c>
      <c r="N8" s="183"/>
      <c r="O8" s="1404" t="e">
        <f>IF(datePr_ch="",IF(datePr="","",datePr),datePr_ch)</f>
        <v>#NAME?</v>
      </c>
      <c r="P8" s="1405"/>
      <c r="Q8" s="1405"/>
      <c r="R8" s="1405"/>
      <c r="S8" s="1405"/>
      <c r="T8" s="1406"/>
      <c r="U8" s="770"/>
      <c r="Y8" s="79"/>
      <c r="Z8" s="79"/>
      <c r="AA8" s="79"/>
      <c r="AB8" s="79"/>
      <c r="AC8" s="79"/>
    </row>
    <row r="9" spans="1:29" s="44" customFormat="1" ht="18.75" customHeight="1">
      <c r="A9" s="79"/>
      <c r="B9" s="79"/>
      <c r="C9" s="79"/>
      <c r="D9" s="79"/>
      <c r="E9" s="79"/>
      <c r="F9" s="79"/>
      <c r="G9" s="79"/>
      <c r="H9" s="79"/>
      <c r="L9" s="24"/>
      <c r="M9" s="178" t="s">
        <v>1486</v>
      </c>
      <c r="N9" s="183"/>
      <c r="O9" s="1404" t="e">
        <f>IF(numberPr_ch="",IF(numberPr="","",numberPr),numberPr_ch)</f>
        <v>#NAME?</v>
      </c>
      <c r="P9" s="1405"/>
      <c r="Q9" s="1405"/>
      <c r="R9" s="1405"/>
      <c r="S9" s="1405"/>
      <c r="T9" s="1406"/>
      <c r="U9" s="770"/>
      <c r="Y9" s="79"/>
      <c r="Z9" s="79"/>
      <c r="AA9" s="79"/>
      <c r="AB9" s="79"/>
      <c r="AC9" s="79"/>
    </row>
    <row r="10" spans="1:29" s="44" customFormat="1" ht="18.75" customHeight="1">
      <c r="A10" s="79"/>
      <c r="B10" s="79"/>
      <c r="C10" s="79"/>
      <c r="D10" s="79"/>
      <c r="E10" s="79"/>
      <c r="F10" s="79"/>
      <c r="G10" s="79"/>
      <c r="H10" s="79"/>
      <c r="L10" s="24"/>
      <c r="M10" s="178" t="s">
        <v>40</v>
      </c>
      <c r="N10" s="183"/>
      <c r="O10" s="1404" t="e">
        <f>IF(IstPub_ch="",IF(IstPub="","",IstPub),IstPub_ch)</f>
        <v>#NAME?</v>
      </c>
      <c r="P10" s="1405"/>
      <c r="Q10" s="1405"/>
      <c r="R10" s="1405"/>
      <c r="S10" s="1405"/>
      <c r="T10" s="1406"/>
      <c r="U10" s="770"/>
      <c r="Y10" s="79"/>
      <c r="Z10" s="79"/>
      <c r="AA10" s="79"/>
      <c r="AB10" s="79"/>
      <c r="AC10" s="79"/>
    </row>
    <row r="11" spans="1:29" s="44" customFormat="1" ht="18.75" hidden="1" customHeight="1">
      <c r="A11" s="79"/>
      <c r="B11" s="79"/>
      <c r="C11" s="79"/>
      <c r="D11" s="79"/>
      <c r="E11" s="79"/>
      <c r="F11" s="79"/>
      <c r="G11" s="79"/>
      <c r="H11" s="79"/>
      <c r="L11" s="24"/>
      <c r="M11" s="201"/>
      <c r="O11" s="89"/>
      <c r="P11" s="89"/>
      <c r="Q11" s="79" t="s">
        <v>1571</v>
      </c>
      <c r="R11" s="79" t="s">
        <v>1572</v>
      </c>
      <c r="S11" s="89"/>
      <c r="T11" s="89"/>
      <c r="U11" s="770"/>
      <c r="Y11" s="79"/>
      <c r="Z11" s="79"/>
      <c r="AA11" s="79"/>
      <c r="AB11" s="79"/>
      <c r="AC11" s="79"/>
    </row>
    <row r="12" spans="1:29" s="44" customFormat="1" ht="11.25" hidden="1" customHeight="1">
      <c r="A12" s="79"/>
      <c r="B12" s="79"/>
      <c r="C12" s="79"/>
      <c r="D12" s="79"/>
      <c r="E12" s="79"/>
      <c r="F12" s="79"/>
      <c r="G12" s="79"/>
      <c r="H12" s="79"/>
      <c r="L12" s="1398"/>
      <c r="M12" s="1398"/>
      <c r="N12" s="87"/>
      <c r="O12" s="24"/>
      <c r="P12" s="24"/>
      <c r="Q12" s="24"/>
      <c r="R12" s="24"/>
      <c r="S12" s="24"/>
      <c r="T12" s="24"/>
      <c r="U12" s="368"/>
      <c r="V12" s="77" t="s">
        <v>1489</v>
      </c>
      <c r="Y12" s="79"/>
      <c r="Z12" s="79"/>
      <c r="AA12" s="79"/>
      <c r="AB12" s="79"/>
      <c r="AC12" s="79"/>
    </row>
    <row r="13" spans="1:29" ht="14.25" customHeight="1">
      <c r="J13" s="36"/>
      <c r="K13" s="36"/>
      <c r="L13" s="25"/>
      <c r="M13" s="25"/>
      <c r="N13" s="25"/>
      <c r="O13" s="772"/>
      <c r="P13" s="772"/>
      <c r="Q13" s="1401"/>
      <c r="R13" s="1401"/>
      <c r="S13" s="1401"/>
      <c r="T13" s="1401"/>
      <c r="U13" s="1401"/>
      <c r="V13" s="1401"/>
    </row>
    <row r="14" spans="1:29" ht="14.25" customHeight="1">
      <c r="J14" s="36"/>
      <c r="K14" s="36"/>
      <c r="L14" s="1123" t="s">
        <v>292</v>
      </c>
      <c r="M14" s="1123"/>
      <c r="N14" s="1123"/>
      <c r="O14" s="1123"/>
      <c r="P14" s="1123"/>
      <c r="Q14" s="1123"/>
      <c r="R14" s="1123"/>
      <c r="S14" s="1123"/>
      <c r="T14" s="1123"/>
      <c r="U14" s="1123"/>
      <c r="V14" s="1123"/>
      <c r="W14" s="1123"/>
      <c r="X14" s="1123" t="s">
        <v>293</v>
      </c>
    </row>
    <row r="15" spans="1:29" ht="14.25" customHeight="1">
      <c r="J15" s="36"/>
      <c r="K15" s="36"/>
      <c r="L15" s="1213" t="s">
        <v>88</v>
      </c>
      <c r="M15" s="1213" t="s">
        <v>1573</v>
      </c>
      <c r="N15" s="45"/>
      <c r="O15" s="1213" t="s">
        <v>1574</v>
      </c>
      <c r="P15" s="1212" t="s">
        <v>1575</v>
      </c>
      <c r="Q15" s="1212" t="s">
        <v>1555</v>
      </c>
      <c r="R15" s="1212"/>
      <c r="S15" s="1212"/>
      <c r="T15" s="1212"/>
      <c r="U15" s="1212"/>
      <c r="V15" s="1213" t="s">
        <v>1492</v>
      </c>
      <c r="W15" s="1402" t="s">
        <v>1556</v>
      </c>
      <c r="X15" s="1123"/>
    </row>
    <row r="16" spans="1:29" ht="25.5" customHeight="1">
      <c r="J16" s="36"/>
      <c r="K16" s="36"/>
      <c r="L16" s="1213"/>
      <c r="M16" s="1213"/>
      <c r="N16" s="45"/>
      <c r="O16" s="1213"/>
      <c r="P16" s="1212"/>
      <c r="Q16" s="1212" t="s">
        <v>1576</v>
      </c>
      <c r="R16" s="1212"/>
      <c r="S16" s="1123" t="s">
        <v>1516</v>
      </c>
      <c r="T16" s="1123"/>
      <c r="U16" s="1123"/>
      <c r="V16" s="1213"/>
      <c r="W16" s="1402"/>
      <c r="X16" s="1123"/>
    </row>
    <row r="17" spans="1:29" ht="14.25" customHeight="1">
      <c r="J17" s="36"/>
      <c r="K17" s="36"/>
      <c r="L17" s="1213"/>
      <c r="M17" s="1213"/>
      <c r="N17" s="45"/>
      <c r="O17" s="1213"/>
      <c r="P17" s="1212"/>
      <c r="Q17" s="45" t="s">
        <v>1551</v>
      </c>
      <c r="R17" s="45" t="s">
        <v>1552</v>
      </c>
      <c r="S17" s="48" t="s">
        <v>1508</v>
      </c>
      <c r="T17" s="1180" t="s">
        <v>1509</v>
      </c>
      <c r="U17" s="1180"/>
      <c r="V17" s="1213"/>
      <c r="W17" s="1402"/>
      <c r="X17" s="1123"/>
    </row>
    <row r="18" spans="1:29" ht="14.25" customHeight="1">
      <c r="J18" s="36"/>
      <c r="K18" s="176">
        <v>1</v>
      </c>
      <c r="L18" s="28" t="s">
        <v>109</v>
      </c>
      <c r="M18" s="28" t="s">
        <v>110</v>
      </c>
      <c r="N18" s="771" t="s">
        <v>110</v>
      </c>
      <c r="O18" s="305">
        <f t="shared" ref="O18:T18" ca="1" si="0">OFFSET(O18,0,-1)+1</f>
        <v>3</v>
      </c>
      <c r="P18" s="305">
        <f t="shared" ca="1" si="0"/>
        <v>4</v>
      </c>
      <c r="Q18" s="305">
        <f t="shared" ca="1" si="0"/>
        <v>5</v>
      </c>
      <c r="R18" s="305">
        <f t="shared" ca="1" si="0"/>
        <v>6</v>
      </c>
      <c r="S18" s="305">
        <f t="shared" ca="1" si="0"/>
        <v>7</v>
      </c>
      <c r="T18" s="1399">
        <f t="shared" ca="1" si="0"/>
        <v>8</v>
      </c>
      <c r="U18" s="1399"/>
      <c r="V18" s="305">
        <f ca="1">OFFSET(V18,0,-2)+1</f>
        <v>9</v>
      </c>
      <c r="X18" s="305">
        <f ca="1">OFFSET(X18,0,-2)+1</f>
        <v>10</v>
      </c>
    </row>
    <row r="19" spans="1:29" ht="22.5" customHeight="1">
      <c r="A19" s="1259">
        <v>1</v>
      </c>
      <c r="J19" s="36"/>
      <c r="K19" s="36"/>
      <c r="L19" s="755" t="e">
        <f ca="1">MERGEVALUE(A19)</f>
        <v>#NAME?</v>
      </c>
      <c r="M19" s="76" t="s">
        <v>124</v>
      </c>
      <c r="N19" s="76"/>
      <c r="O19" s="1400"/>
      <c r="P19" s="1400"/>
      <c r="Q19" s="1400"/>
      <c r="R19" s="1400"/>
      <c r="S19" s="1400"/>
      <c r="T19" s="1400"/>
      <c r="U19" s="1400"/>
      <c r="V19" s="1400"/>
      <c r="W19" s="1400"/>
      <c r="X19" s="76" t="s">
        <v>1461</v>
      </c>
    </row>
    <row r="20" spans="1:29" ht="22.5" customHeight="1">
      <c r="A20" s="1259"/>
      <c r="B20" s="1259">
        <v>1</v>
      </c>
      <c r="G20" s="236"/>
      <c r="H20" s="127"/>
      <c r="I20" s="225"/>
      <c r="J20" s="29"/>
      <c r="K20" s="24"/>
      <c r="L20" s="755" t="e">
        <f ca="1">MERGEVALUE(A20)&amp;"."&amp;MERGEVALUE(B20)</f>
        <v>#NAME?</v>
      </c>
      <c r="M20" s="187" t="s">
        <v>1462</v>
      </c>
      <c r="N20" s="76"/>
      <c r="O20" s="1400"/>
      <c r="P20" s="1400"/>
      <c r="Q20" s="1400"/>
      <c r="R20" s="1400"/>
      <c r="S20" s="1400"/>
      <c r="T20" s="1400"/>
      <c r="U20" s="1400"/>
      <c r="V20" s="1400"/>
      <c r="W20" s="1400"/>
      <c r="X20" s="76" t="s">
        <v>1463</v>
      </c>
    </row>
    <row r="21" spans="1:29" ht="22.5" customHeight="1">
      <c r="A21" s="1259"/>
      <c r="B21" s="1259"/>
      <c r="C21" s="1259">
        <v>1</v>
      </c>
      <c r="G21" s="236"/>
      <c r="H21" s="127"/>
      <c r="I21" s="54"/>
      <c r="J21" s="29"/>
      <c r="K21" s="24"/>
      <c r="L21" s="755" t="e">
        <f ca="1">MERGEVALUE(A21)&amp;"."&amp;MERGEVALUE(B21)&amp;"."&amp;MERGEVALUE(C21)</f>
        <v>#NAME?</v>
      </c>
      <c r="M21" s="188" t="s">
        <v>1464</v>
      </c>
      <c r="N21" s="76"/>
      <c r="O21" s="1400"/>
      <c r="P21" s="1400"/>
      <c r="Q21" s="1400"/>
      <c r="R21" s="1400"/>
      <c r="S21" s="1400"/>
      <c r="T21" s="1400"/>
      <c r="U21" s="1400"/>
      <c r="V21" s="1400"/>
      <c r="W21" s="1400"/>
      <c r="X21" s="76" t="s">
        <v>1465</v>
      </c>
    </row>
    <row r="22" spans="1:29" ht="14.25" customHeight="1">
      <c r="A22" s="1259"/>
      <c r="B22" s="1259"/>
      <c r="C22" s="1259"/>
      <c r="D22" s="1259">
        <v>1</v>
      </c>
      <c r="G22" s="236"/>
      <c r="H22" s="127"/>
      <c r="I22" s="54"/>
      <c r="J22" s="224"/>
      <c r="K22" s="24"/>
      <c r="L22" s="755" t="e">
        <f ca="1">MERGEVALUE(A22)&amp;"."&amp;MERGEVALUE(B22)&amp;"."&amp;MERGEVALUE(C22)&amp;"."&amp;MERGEVALUE(D22)</f>
        <v>#NAME?</v>
      </c>
      <c r="M22" s="189" t="s">
        <v>1466</v>
      </c>
      <c r="N22" s="76"/>
      <c r="O22" s="1400"/>
      <c r="P22" s="1400"/>
      <c r="Q22" s="1400"/>
      <c r="R22" s="1400"/>
      <c r="S22" s="1400"/>
      <c r="T22" s="1400"/>
      <c r="U22" s="1400"/>
      <c r="V22" s="1400"/>
      <c r="W22" s="1400"/>
      <c r="X22" s="180" t="s">
        <v>1577</v>
      </c>
    </row>
    <row r="23" spans="1:29" ht="22.5" customHeight="1">
      <c r="A23" s="1259"/>
      <c r="B23" s="1259"/>
      <c r="C23" s="1259"/>
      <c r="D23" s="1259"/>
      <c r="E23" s="77">
        <v>1</v>
      </c>
      <c r="G23" s="236"/>
      <c r="H23" s="127"/>
      <c r="I23" s="54"/>
      <c r="J23" s="224"/>
      <c r="K23" s="86"/>
      <c r="L23" s="755" t="e">
        <f ca="1">MERGEVALUE(A23)&amp;"."&amp;MERGEVALUE(B23)&amp;"."&amp;MERGEVALUE(C23)&amp;"."&amp;MERGEVALUE(D23)&amp;"."&amp;MERGEVALUE(E23)</f>
        <v>#NAME?</v>
      </c>
      <c r="M23" s="232"/>
      <c r="N23" s="52"/>
      <c r="O23" s="1041"/>
      <c r="P23" s="234"/>
      <c r="Q23" s="184"/>
      <c r="R23" s="184"/>
      <c r="S23" s="990"/>
      <c r="T23" s="322" t="s">
        <v>57</v>
      </c>
      <c r="U23" s="73"/>
      <c r="V23" s="322" t="s">
        <v>57</v>
      </c>
      <c r="W23" s="773"/>
      <c r="X23" s="1169" t="s">
        <v>1578</v>
      </c>
      <c r="Y23" s="77" t="e">
        <f ca="1">STRCHECKDATETWO(N23:W23)</f>
        <v>#NAME?</v>
      </c>
    </row>
    <row r="24" spans="1:29" ht="14.25" hidden="1" customHeight="1">
      <c r="A24" s="1259"/>
      <c r="B24" s="1259"/>
      <c r="C24" s="1259"/>
      <c r="D24" s="1259"/>
      <c r="G24" s="236"/>
      <c r="H24" s="127"/>
      <c r="I24" s="54"/>
      <c r="J24" s="224"/>
      <c r="K24" s="86"/>
      <c r="L24" s="157"/>
      <c r="M24" s="190"/>
      <c r="N24" s="179"/>
      <c r="O24" s="179"/>
      <c r="P24" s="179"/>
      <c r="Q24" s="179"/>
      <c r="R24" s="1057" t="str">
        <f>S23&amp;"-"&amp;U23</f>
        <v>-</v>
      </c>
      <c r="S24" s="196"/>
      <c r="T24" s="194"/>
      <c r="U24" s="196"/>
      <c r="V24" s="179"/>
      <c r="W24" s="774"/>
      <c r="X24" s="1170"/>
    </row>
    <row r="25" spans="1:29" ht="14.25" customHeight="1">
      <c r="A25" s="1259"/>
      <c r="B25" s="1259"/>
      <c r="C25" s="1259"/>
      <c r="D25" s="1259"/>
      <c r="G25" s="236"/>
      <c r="H25" s="127"/>
      <c r="I25" s="54"/>
      <c r="J25" s="224"/>
      <c r="K25" s="86"/>
      <c r="L25" s="186"/>
      <c r="M25" s="226" t="s">
        <v>1542</v>
      </c>
      <c r="N25" s="117"/>
      <c r="O25" s="203"/>
      <c r="P25" s="203"/>
      <c r="Q25" s="203"/>
      <c r="R25" s="203"/>
      <c r="S25" s="205"/>
      <c r="T25" s="228"/>
      <c r="U25" s="205"/>
      <c r="V25" s="117"/>
      <c r="W25" s="117"/>
      <c r="X25" s="1171"/>
    </row>
    <row r="26" spans="1:29" ht="14.25" customHeight="1">
      <c r="A26" s="1259"/>
      <c r="B26" s="1259"/>
      <c r="C26" s="1259"/>
      <c r="D26" s="111"/>
      <c r="E26" s="111"/>
      <c r="F26" s="111"/>
      <c r="G26" s="236"/>
      <c r="H26" s="111"/>
      <c r="I26" s="54"/>
      <c r="J26" s="231"/>
      <c r="K26" s="43"/>
      <c r="L26" s="186"/>
      <c r="M26" s="113" t="s">
        <v>1557</v>
      </c>
      <c r="N26" s="117"/>
      <c r="O26" s="203"/>
      <c r="P26" s="203"/>
      <c r="Q26" s="203"/>
      <c r="R26" s="203"/>
      <c r="S26" s="205"/>
      <c r="T26" s="228"/>
      <c r="U26" s="205"/>
      <c r="V26" s="117"/>
      <c r="W26" s="228"/>
      <c r="X26" s="775"/>
      <c r="Y26" s="111"/>
      <c r="Z26" s="111"/>
      <c r="AA26" s="111"/>
      <c r="AB26" s="111"/>
      <c r="AC26" s="111"/>
    </row>
    <row r="27" spans="1:29" ht="14.25" customHeight="1">
      <c r="A27" s="1259"/>
      <c r="B27" s="1259"/>
      <c r="C27" s="111"/>
      <c r="D27" s="111"/>
      <c r="E27" s="111"/>
      <c r="F27" s="111"/>
      <c r="G27" s="236"/>
      <c r="H27" s="111"/>
      <c r="I27" s="43"/>
      <c r="J27" s="231"/>
      <c r="K27" s="43"/>
      <c r="L27" s="186"/>
      <c r="M27" s="117" t="s">
        <v>1558</v>
      </c>
      <c r="N27" s="117"/>
      <c r="O27" s="203"/>
      <c r="P27" s="203"/>
      <c r="Q27" s="203"/>
      <c r="R27" s="203"/>
      <c r="S27" s="205"/>
      <c r="T27" s="228"/>
      <c r="U27" s="205"/>
      <c r="V27" s="117"/>
      <c r="W27" s="228"/>
      <c r="X27" s="204"/>
      <c r="Y27" s="111"/>
      <c r="Z27" s="111"/>
      <c r="AA27" s="111"/>
      <c r="AB27" s="111"/>
      <c r="AC27" s="111"/>
    </row>
    <row r="28" spans="1:29" ht="14.25" customHeight="1">
      <c r="A28" s="1259"/>
      <c r="B28" s="111"/>
      <c r="C28" s="111"/>
      <c r="D28" s="111"/>
      <c r="E28" s="111"/>
      <c r="F28" s="111"/>
      <c r="G28" s="236"/>
      <c r="H28" s="111"/>
      <c r="I28" s="43"/>
      <c r="J28" s="231"/>
      <c r="K28" s="43"/>
      <c r="L28" s="186"/>
      <c r="M28" s="116" t="s">
        <v>104</v>
      </c>
      <c r="N28" s="117"/>
      <c r="O28" s="203"/>
      <c r="P28" s="203"/>
      <c r="Q28" s="203"/>
      <c r="R28" s="203"/>
      <c r="S28" s="205"/>
      <c r="T28" s="228"/>
      <c r="U28" s="205"/>
      <c r="V28" s="117"/>
      <c r="W28" s="228"/>
      <c r="X28" s="204"/>
      <c r="Y28" s="111"/>
      <c r="Z28" s="111"/>
      <c r="AA28" s="111"/>
      <c r="AB28" s="111"/>
      <c r="AC28" s="111"/>
    </row>
    <row r="29" spans="1:29" ht="14.25" customHeight="1">
      <c r="A29"/>
      <c r="B29"/>
      <c r="C29"/>
      <c r="D29"/>
      <c r="E29"/>
      <c r="F29"/>
      <c r="G29" s="227"/>
      <c r="H29" s="43"/>
      <c r="I29" s="56"/>
      <c r="J29" s="231"/>
      <c r="K29"/>
      <c r="L29" s="186"/>
      <c r="M29" s="62" t="s">
        <v>1440</v>
      </c>
      <c r="N29" s="117"/>
      <c r="O29" s="203"/>
      <c r="P29" s="203"/>
      <c r="Q29" s="203"/>
      <c r="R29" s="203"/>
      <c r="S29" s="205"/>
      <c r="T29" s="228"/>
      <c r="U29" s="205"/>
      <c r="V29" s="117"/>
      <c r="W29" s="228"/>
      <c r="X29" s="204"/>
      <c r="Y29" s="111"/>
      <c r="Z29" s="111"/>
      <c r="AA29" s="111"/>
      <c r="AB29" s="111"/>
      <c r="AC29" s="111"/>
    </row>
    <row r="31" spans="1:29" ht="14.25" customHeight="1">
      <c r="L31" s="7">
        <v>1</v>
      </c>
      <c r="M31" s="1336" t="s">
        <v>1579</v>
      </c>
      <c r="N31" s="1336"/>
      <c r="O31" s="1336"/>
      <c r="P31" s="1336"/>
      <c r="Q31" s="1336"/>
      <c r="R31" s="1336"/>
      <c r="S31" s="1336"/>
      <c r="T31" s="1336"/>
      <c r="U31" s="1336"/>
      <c r="V31" s="1336"/>
      <c r="W31" s="1336"/>
      <c r="X31" s="1336"/>
      <c r="Y31" s="776"/>
      <c r="Z31" s="7"/>
      <c r="AA31" s="7"/>
      <c r="AB31" s="7"/>
      <c r="AC31" s="7"/>
    </row>
    <row r="32" spans="1:29" ht="14.25" customHeight="1">
      <c r="M32" s="670"/>
      <c r="N32" s="670"/>
      <c r="O32" s="670"/>
      <c r="P32" s="670"/>
      <c r="Q32" s="670"/>
      <c r="R32" s="670"/>
      <c r="S32" s="670"/>
      <c r="T32" s="670"/>
      <c r="U32" s="670"/>
      <c r="V32" s="670"/>
      <c r="W32" s="670"/>
      <c r="X32" s="670"/>
      <c r="Y32" s="235"/>
      <c r="Z32" s="235"/>
      <c r="AA32" s="235"/>
      <c r="AB32" s="235"/>
      <c r="AC32" s="235"/>
    </row>
  </sheetData>
  <sheetProtection formatColumns="0" formatRows="0" insertRows="0" deleteColumns="0" deleteRows="0" sort="0" autoFilter="0"/>
  <mergeCells count="30">
    <mergeCell ref="L12:M12"/>
    <mergeCell ref="L5:T5"/>
    <mergeCell ref="O7:T7"/>
    <mergeCell ref="O8:T8"/>
    <mergeCell ref="O9:T9"/>
    <mergeCell ref="O10:T10"/>
    <mergeCell ref="Q13:V13"/>
    <mergeCell ref="L14:W14"/>
    <mergeCell ref="X14:X17"/>
    <mergeCell ref="L15:L17"/>
    <mergeCell ref="M15:M17"/>
    <mergeCell ref="O15:O17"/>
    <mergeCell ref="P15:P17"/>
    <mergeCell ref="Q15:U15"/>
    <mergeCell ref="V15:V17"/>
    <mergeCell ref="W15:W17"/>
    <mergeCell ref="A19:A28"/>
    <mergeCell ref="O19:W19"/>
    <mergeCell ref="B20:B27"/>
    <mergeCell ref="O20:W20"/>
    <mergeCell ref="C21:C26"/>
    <mergeCell ref="O21:W21"/>
    <mergeCell ref="D22:D25"/>
    <mergeCell ref="O22:W22"/>
    <mergeCell ref="X23:X25"/>
    <mergeCell ref="M31:X31"/>
    <mergeCell ref="Q16:R16"/>
    <mergeCell ref="S16:U16"/>
    <mergeCell ref="T17:U17"/>
    <mergeCell ref="T18:U18"/>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xr:uid="{00000000-0002-0000-1A00-000000000000}"/>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xr:uid="{00000000-0002-0000-1A00-000001000000}">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xr:uid="{00000000-0002-0000-1A00-000002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xr:uid="{00000000-0002-0000-1A00-000003000000}"/>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xr:uid="{00000000-0002-0000-1A00-000004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xr:uid="{00000000-0002-0000-1A00-000005000000}"/>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xr:uid="{00000000-0002-0000-1A00-000006000000}"/>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xr:uid="{00000000-0002-0000-1A00-000007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F4E042-5655-5DB5-B4A8-B3A8A8273A47}">
  <sheetPr>
    <tabColor theme="6" tint="0.39997558519241921"/>
  </sheetPr>
  <dimension ref="A1:L42"/>
  <sheetViews>
    <sheetView showGridLines="0" topLeftCell="C13" zoomScale="90" workbookViewId="0"/>
  </sheetViews>
  <sheetFormatPr defaultColWidth="10.5703125" defaultRowHeight="14.25" customHeight="1"/>
  <cols>
    <col min="1" max="1" width="9.140625" style="541" hidden="1" customWidth="1"/>
    <col min="2" max="2" width="9.140625" style="72" hidden="1" customWidth="1"/>
    <col min="3" max="3" width="3.7109375" style="37" customWidth="1"/>
    <col min="4" max="4" width="6.28515625" style="24" customWidth="1"/>
    <col min="5" max="5" width="63.42578125" style="24" customWidth="1"/>
    <col min="6" max="6" width="1.7109375" style="24" hidden="1" customWidth="1"/>
    <col min="7" max="8" width="35.7109375" style="24" customWidth="1"/>
    <col min="9" max="9" width="91.5703125" style="24" customWidth="1"/>
    <col min="10" max="10" width="68.85546875" style="24" customWidth="1"/>
    <col min="11" max="12" width="10.5703125" style="79"/>
  </cols>
  <sheetData>
    <row r="1" spans="1:12" ht="14.25" hidden="1" customHeight="1"/>
    <row r="2" spans="1:12" s="24" customFormat="1" ht="18.75" hidden="1" customHeight="1">
      <c r="A2" s="71"/>
      <c r="B2" s="72"/>
      <c r="C2" s="986" t="s">
        <v>1109</v>
      </c>
      <c r="D2" s="73"/>
      <c r="E2" s="1076"/>
      <c r="F2" s="48"/>
      <c r="G2" s="48" t="s">
        <v>298</v>
      </c>
      <c r="H2" s="122"/>
      <c r="K2" s="79"/>
      <c r="L2" s="79"/>
    </row>
    <row r="3" spans="1:12" s="24" customFormat="1" ht="14.25" hidden="1" customHeight="1">
      <c r="A3" s="541"/>
      <c r="B3" s="72"/>
      <c r="C3" s="37"/>
      <c r="K3" s="79"/>
      <c r="L3" s="79"/>
    </row>
    <row r="4" spans="1:12" s="24" customFormat="1" ht="18.75" hidden="1" customHeight="1">
      <c r="A4" s="71"/>
      <c r="B4" s="72"/>
      <c r="C4" s="986" t="s">
        <v>1109</v>
      </c>
      <c r="D4" s="73"/>
      <c r="E4" s="1077" t="s">
        <v>1580</v>
      </c>
      <c r="F4" s="48"/>
      <c r="G4" s="1078"/>
      <c r="H4" s="48" t="s">
        <v>298</v>
      </c>
      <c r="K4" s="79"/>
      <c r="L4" s="79"/>
    </row>
    <row r="5" spans="1:12" s="24" customFormat="1" ht="14.25" hidden="1" customHeight="1">
      <c r="A5" s="541"/>
      <c r="B5" s="72"/>
      <c r="C5" s="37"/>
      <c r="K5" s="79"/>
      <c r="L5" s="79"/>
    </row>
    <row r="6" spans="1:12" s="24" customFormat="1" ht="18.75" hidden="1" customHeight="1">
      <c r="A6" s="71"/>
      <c r="B6" s="72"/>
      <c r="C6" s="986" t="s">
        <v>1109</v>
      </c>
      <c r="D6" s="73"/>
      <c r="E6" s="1079" t="s">
        <v>1581</v>
      </c>
      <c r="F6" s="48"/>
      <c r="G6" s="1078"/>
      <c r="H6" s="48" t="s">
        <v>298</v>
      </c>
      <c r="K6" s="79"/>
      <c r="L6" s="79"/>
    </row>
    <row r="7" spans="1:12" s="24" customFormat="1" ht="14.25" hidden="1" customHeight="1">
      <c r="A7" s="541"/>
      <c r="B7" s="72"/>
      <c r="C7" s="37"/>
      <c r="K7" s="79"/>
      <c r="L7" s="79"/>
    </row>
    <row r="8" spans="1:12" s="24" customFormat="1" ht="18.75" hidden="1" customHeight="1">
      <c r="A8" s="71"/>
      <c r="B8" s="72"/>
      <c r="C8" s="986" t="s">
        <v>1109</v>
      </c>
      <c r="D8" s="73"/>
      <c r="E8" s="1079" t="s">
        <v>1582</v>
      </c>
      <c r="F8" s="48"/>
      <c r="G8" s="1078"/>
      <c r="H8" s="48" t="s">
        <v>298</v>
      </c>
      <c r="K8" s="79"/>
      <c r="L8" s="79"/>
    </row>
    <row r="9" spans="1:12" s="24" customFormat="1" ht="14.25" hidden="1" customHeight="1">
      <c r="A9" s="541"/>
      <c r="B9" s="72"/>
      <c r="C9" s="37"/>
      <c r="K9" s="79"/>
      <c r="L9" s="79"/>
    </row>
    <row r="10" spans="1:12" s="24" customFormat="1" ht="18.75" hidden="1" customHeight="1">
      <c r="A10" s="71"/>
      <c r="B10" s="72"/>
      <c r="C10" s="986" t="s">
        <v>1109</v>
      </c>
      <c r="D10" s="73"/>
      <c r="E10" s="1079" t="s">
        <v>1583</v>
      </c>
      <c r="F10" s="48"/>
      <c r="G10" s="118"/>
      <c r="H10" s="48" t="s">
        <v>298</v>
      </c>
      <c r="K10" s="79"/>
      <c r="L10" s="79" t="s">
        <v>1584</v>
      </c>
    </row>
    <row r="11" spans="1:12" ht="14.25" hidden="1" customHeight="1"/>
    <row r="12" spans="1:12" ht="14.25" hidden="1" customHeight="1"/>
    <row r="13" spans="1:12" ht="14.25" customHeight="1">
      <c r="C13" s="36"/>
      <c r="D13" s="25"/>
      <c r="E13" s="25"/>
      <c r="F13" s="25"/>
      <c r="G13" s="25"/>
      <c r="H13" s="26"/>
      <c r="I13" s="26"/>
    </row>
    <row r="14" spans="1:12" ht="30" customHeight="1">
      <c r="C14" s="36"/>
      <c r="D14" s="1116" t="str">
        <f>PROCEDURE_TC_NAME_FORM</f>
        <v>Форма 18.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 &lt;1&gt;</v>
      </c>
      <c r="E14" s="1117"/>
      <c r="F14" s="1117"/>
      <c r="G14" s="1117"/>
      <c r="H14" s="1118"/>
    </row>
    <row r="15" spans="1:12" s="24" customFormat="1" ht="14.25" customHeight="1">
      <c r="A15" s="541"/>
      <c r="B15" s="72"/>
      <c r="C15" s="36"/>
      <c r="D15" s="1228" t="str">
        <f>IF(org=0,"Не определено",org)</f>
        <v>ООО "ТЕПЛО ПЛЮС"</v>
      </c>
      <c r="E15" s="1229"/>
      <c r="F15" s="1229"/>
      <c r="G15" s="1229"/>
      <c r="H15" s="1230"/>
      <c r="J15" s="524"/>
      <c r="K15" s="79"/>
      <c r="L15" s="79"/>
    </row>
    <row r="16" spans="1:12" ht="14.25" customHeight="1">
      <c r="C16" s="36"/>
      <c r="D16" s="25"/>
      <c r="E16" s="35"/>
      <c r="F16" s="35"/>
      <c r="G16" s="35"/>
      <c r="H16" s="463"/>
      <c r="I16" s="109"/>
    </row>
    <row r="17" spans="1:12" s="24" customFormat="1" ht="14.25" hidden="1" customHeight="1">
      <c r="A17" s="541"/>
      <c r="B17" s="72"/>
      <c r="C17" s="36"/>
      <c r="D17" s="25"/>
      <c r="E17" s="35"/>
      <c r="F17" s="35"/>
      <c r="G17" s="35"/>
      <c r="H17" s="463"/>
      <c r="I17" s="109"/>
      <c r="K17" s="79"/>
      <c r="L17" s="79"/>
    </row>
    <row r="18" spans="1:12" ht="21" customHeight="1">
      <c r="C18" s="36"/>
      <c r="D18" s="1213" t="s">
        <v>292</v>
      </c>
      <c r="E18" s="1213"/>
      <c r="F18" s="1213"/>
      <c r="G18" s="1213"/>
      <c r="H18" s="1213"/>
      <c r="I18" s="1325" t="s">
        <v>293</v>
      </c>
    </row>
    <row r="19" spans="1:12" ht="21" customHeight="1">
      <c r="C19" s="36"/>
      <c r="D19" s="45" t="s">
        <v>88</v>
      </c>
      <c r="E19" s="48" t="s">
        <v>294</v>
      </c>
      <c r="F19" s="48"/>
      <c r="G19" s="48" t="s">
        <v>295</v>
      </c>
      <c r="H19" s="48" t="s">
        <v>384</v>
      </c>
      <c r="I19" s="1325"/>
    </row>
    <row r="20" spans="1:12" ht="12" customHeight="1">
      <c r="C20" s="36"/>
      <c r="D20" s="28" t="s">
        <v>109</v>
      </c>
      <c r="E20" s="28" t="s">
        <v>110</v>
      </c>
      <c r="F20" s="28"/>
      <c r="G20" s="28" t="s">
        <v>90</v>
      </c>
      <c r="H20" s="28" t="s">
        <v>91</v>
      </c>
      <c r="I20" s="28" t="s">
        <v>111</v>
      </c>
    </row>
    <row r="21" spans="1:12" ht="14.25" customHeight="1">
      <c r="A21" s="71"/>
      <c r="C21" s="36"/>
      <c r="D21" s="73">
        <v>1</v>
      </c>
      <c r="E21" s="1407" t="s">
        <v>1585</v>
      </c>
      <c r="F21" s="1407"/>
      <c r="G21" s="1407"/>
      <c r="H21" s="1407"/>
      <c r="I21" s="119"/>
    </row>
    <row r="22" spans="1:12" ht="20.25" customHeight="1">
      <c r="A22" s="71"/>
      <c r="C22" s="36"/>
      <c r="D22" s="73" t="s">
        <v>620</v>
      </c>
      <c r="E22" s="110" t="s">
        <v>1586</v>
      </c>
      <c r="F22" s="48"/>
      <c r="G22" s="993"/>
      <c r="H22" s="48" t="s">
        <v>298</v>
      </c>
      <c r="I22" s="76" t="s">
        <v>1587</v>
      </c>
    </row>
    <row r="23" spans="1:12" ht="45" customHeight="1">
      <c r="A23" s="71"/>
      <c r="C23" s="36"/>
      <c r="D23" s="73" t="s">
        <v>626</v>
      </c>
      <c r="E23" s="110" t="s">
        <v>1588</v>
      </c>
      <c r="F23" s="48"/>
      <c r="G23" s="1078"/>
      <c r="H23" s="122"/>
      <c r="I23" s="156" t="s">
        <v>1589</v>
      </c>
    </row>
    <row r="24" spans="1:12" ht="14.25" customHeight="1">
      <c r="A24" s="71"/>
      <c r="B24" s="72">
        <v>3</v>
      </c>
      <c r="C24" s="36"/>
      <c r="D24" s="73">
        <v>2</v>
      </c>
      <c r="E24" s="12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48"/>
      <c r="G24" s="48" t="s">
        <v>298</v>
      </c>
      <c r="H24" s="122"/>
      <c r="I24" s="157" t="s">
        <v>713</v>
      </c>
    </row>
    <row r="25" spans="1:12" ht="46.5" customHeight="1">
      <c r="A25" s="71"/>
      <c r="C25" s="36"/>
      <c r="D25" s="73">
        <v>3</v>
      </c>
      <c r="E25" s="140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1407"/>
      <c r="G25" s="1407"/>
      <c r="H25" s="1407"/>
      <c r="I25" s="119"/>
    </row>
    <row r="26" spans="1:12" ht="14.25" customHeight="1">
      <c r="A26" s="71"/>
      <c r="C26" s="36"/>
      <c r="D26" s="73" t="s">
        <v>318</v>
      </c>
      <c r="E26" s="1076"/>
      <c r="F26" s="48"/>
      <c r="G26" s="48" t="s">
        <v>298</v>
      </c>
      <c r="H26" s="122"/>
      <c r="I26" s="1169" t="s">
        <v>1590</v>
      </c>
    </row>
    <row r="27" spans="1:12" ht="15" customHeight="1">
      <c r="A27" s="71" t="s">
        <v>109</v>
      </c>
      <c r="C27" s="36"/>
      <c r="D27" s="49"/>
      <c r="E27" s="116" t="s">
        <v>1455</v>
      </c>
      <c r="F27" s="117"/>
      <c r="G27" s="117"/>
      <c r="H27" s="114"/>
      <c r="I27" s="1171"/>
    </row>
    <row r="28" spans="1:12" ht="38.25" customHeight="1">
      <c r="A28" s="71"/>
      <c r="B28" s="72">
        <v>3</v>
      </c>
      <c r="C28" s="36"/>
      <c r="D28" s="73">
        <v>4</v>
      </c>
      <c r="E28" s="140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1407"/>
      <c r="G28" s="1407"/>
      <c r="H28" s="1407"/>
      <c r="I28" s="119"/>
    </row>
    <row r="29" spans="1:12" ht="20.25" customHeight="1">
      <c r="A29" s="71"/>
      <c r="C29" s="36"/>
      <c r="D29" s="73" t="s">
        <v>613</v>
      </c>
      <c r="E29" s="1077" t="s">
        <v>1580</v>
      </c>
      <c r="F29" s="48"/>
      <c r="G29" s="1078"/>
      <c r="H29" s="48" t="s">
        <v>298</v>
      </c>
      <c r="I29" s="1169" t="s">
        <v>1591</v>
      </c>
    </row>
    <row r="30" spans="1:12" ht="15" customHeight="1">
      <c r="A30" s="71" t="s">
        <v>110</v>
      </c>
      <c r="C30" s="36"/>
      <c r="D30" s="49"/>
      <c r="E30" s="116" t="s">
        <v>1455</v>
      </c>
      <c r="F30" s="117"/>
      <c r="G30" s="117"/>
      <c r="H30" s="114"/>
      <c r="I30" s="1171"/>
    </row>
    <row r="31" spans="1:12" ht="30" customHeight="1">
      <c r="A31" s="71"/>
      <c r="B31" s="72">
        <v>3</v>
      </c>
      <c r="C31" s="36"/>
      <c r="D31" s="73">
        <v>5</v>
      </c>
      <c r="E31" s="140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1407"/>
      <c r="G31" s="1407"/>
      <c r="H31" s="1407"/>
      <c r="I31" s="119"/>
    </row>
    <row r="32" spans="1:12" ht="26.25" customHeight="1">
      <c r="A32" s="71"/>
      <c r="C32" s="36"/>
      <c r="D32" s="73" t="s">
        <v>307</v>
      </c>
      <c r="E32" s="140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1408"/>
      <c r="G32" s="1408"/>
      <c r="H32" s="1408"/>
      <c r="I32" s="119"/>
    </row>
    <row r="33" spans="1:12" ht="14.25" customHeight="1">
      <c r="A33" s="71"/>
      <c r="C33" s="36"/>
      <c r="D33" s="73" t="s">
        <v>621</v>
      </c>
      <c r="E33" s="1079" t="s">
        <v>1581</v>
      </c>
      <c r="F33" s="48"/>
      <c r="G33" s="1078"/>
      <c r="H33" s="48" t="s">
        <v>298</v>
      </c>
      <c r="I33" s="1169" t="s">
        <v>1592</v>
      </c>
    </row>
    <row r="34" spans="1:12" ht="15" customHeight="1">
      <c r="A34" s="71" t="s">
        <v>90</v>
      </c>
      <c r="C34" s="36"/>
      <c r="D34" s="49"/>
      <c r="E34" s="117" t="s">
        <v>1455</v>
      </c>
      <c r="F34" s="113"/>
      <c r="G34" s="113"/>
      <c r="H34" s="114"/>
      <c r="I34" s="1171"/>
    </row>
    <row r="35" spans="1:12" ht="24" customHeight="1">
      <c r="A35" s="71"/>
      <c r="C35" s="36"/>
      <c r="D35" s="73" t="s">
        <v>309</v>
      </c>
      <c r="E35" s="140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1408"/>
      <c r="G35" s="1408"/>
      <c r="H35" s="1408"/>
      <c r="I35" s="119"/>
    </row>
    <row r="36" spans="1:12" ht="14.25" customHeight="1">
      <c r="A36" s="71"/>
      <c r="C36" s="36"/>
      <c r="D36" s="73" t="s">
        <v>1593</v>
      </c>
      <c r="E36" s="1079" t="s">
        <v>1582</v>
      </c>
      <c r="F36" s="48"/>
      <c r="G36" s="1078"/>
      <c r="H36" s="48" t="s">
        <v>298</v>
      </c>
      <c r="I36" s="1145" t="s">
        <v>1594</v>
      </c>
    </row>
    <row r="37" spans="1:12" ht="15" customHeight="1">
      <c r="A37" s="71" t="s">
        <v>91</v>
      </c>
      <c r="C37" s="36"/>
      <c r="D37" s="49"/>
      <c r="E37" s="117" t="s">
        <v>1455</v>
      </c>
      <c r="F37" s="113"/>
      <c r="G37" s="113"/>
      <c r="H37" s="114"/>
      <c r="I37" s="1145"/>
    </row>
    <row r="38" spans="1:12" ht="26.25" customHeight="1">
      <c r="A38" s="71"/>
      <c r="C38" s="36"/>
      <c r="D38" s="73" t="s">
        <v>312</v>
      </c>
      <c r="E38" s="140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1408"/>
      <c r="G38" s="1408"/>
      <c r="H38" s="1408"/>
      <c r="I38" s="119"/>
    </row>
    <row r="39" spans="1:12" ht="14.25" customHeight="1">
      <c r="A39" s="71"/>
      <c r="C39" s="36"/>
      <c r="D39" s="73" t="s">
        <v>1595</v>
      </c>
      <c r="E39" s="1079" t="s">
        <v>1583</v>
      </c>
      <c r="F39" s="48"/>
      <c r="G39" s="118"/>
      <c r="H39" s="48" t="s">
        <v>298</v>
      </c>
      <c r="I39" s="1169" t="s">
        <v>1596</v>
      </c>
      <c r="L39" s="79" t="s">
        <v>1584</v>
      </c>
    </row>
    <row r="40" spans="1:12" ht="15" customHeight="1">
      <c r="A40" s="71" t="s">
        <v>111</v>
      </c>
      <c r="C40" s="36"/>
      <c r="D40" s="49"/>
      <c r="E40" s="117" t="s">
        <v>1455</v>
      </c>
      <c r="F40" s="113"/>
      <c r="G40" s="113"/>
      <c r="H40" s="114"/>
      <c r="I40" s="1171"/>
    </row>
    <row r="41" spans="1:12" s="43" customFormat="1" ht="3" customHeight="1">
      <c r="A41" s="71"/>
      <c r="K41" s="111"/>
      <c r="L41" s="111"/>
    </row>
    <row r="42" spans="1:12" ht="24.75" customHeight="1">
      <c r="D42" s="210" t="s">
        <v>1510</v>
      </c>
      <c r="E42" s="133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1336"/>
      <c r="G42" s="1336"/>
      <c r="H42" s="1336"/>
      <c r="I42" s="1336"/>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1B00-000000000000}"/>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1B00-000001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xr:uid="{00000000-0002-0000-1B00-000002000000}">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1B00-000003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E87C26-54C7-7512-2429-8243264B4A9C}">
  <sheetPr>
    <tabColor theme="6" tint="0.39997558519241921"/>
  </sheetPr>
  <dimension ref="A1:Q16"/>
  <sheetViews>
    <sheetView showGridLines="0" topLeftCell="C4" zoomScale="90" workbookViewId="0"/>
  </sheetViews>
  <sheetFormatPr defaultColWidth="10.5703125" defaultRowHeight="14.25" customHeight="1"/>
  <cols>
    <col min="1" max="1" width="9.140625" style="42" hidden="1" customWidth="1"/>
    <col min="2" max="2" width="9.140625" style="72" hidden="1" customWidth="1"/>
    <col min="3" max="3" width="3.7109375" style="37" customWidth="1"/>
    <col min="4" max="4" width="6.28515625" style="24" customWidth="1"/>
    <col min="5" max="5" width="38.140625" style="24" customWidth="1"/>
    <col min="6" max="7" width="35.7109375" style="24" customWidth="1"/>
    <col min="8" max="8" width="89.5703125" style="24" customWidth="1"/>
    <col min="9" max="9" width="10.5703125" style="24"/>
    <col min="10" max="11" width="10.5703125" style="79"/>
    <col min="12" max="17" width="10.5703125" style="24"/>
  </cols>
  <sheetData>
    <row r="1" spans="1:17" ht="14.25" hidden="1" customHeight="1">
      <c r="N1" s="155"/>
      <c r="O1" s="155"/>
      <c r="Q1" s="155"/>
    </row>
    <row r="2" spans="1:17" s="24" customFormat="1" ht="18.75" hidden="1" customHeight="1">
      <c r="A2" s="43"/>
      <c r="B2" s="72"/>
      <c r="C2" s="986" t="s">
        <v>1109</v>
      </c>
      <c r="D2" s="73"/>
      <c r="E2" s="1080"/>
      <c r="F2" s="1078"/>
      <c r="G2" s="122"/>
      <c r="I2" s="79"/>
      <c r="J2" s="79"/>
    </row>
    <row r="3" spans="1:17" ht="14.25" hidden="1" customHeight="1"/>
    <row r="4" spans="1:17" ht="6" customHeight="1">
      <c r="C4" s="36"/>
      <c r="D4" s="25"/>
      <c r="E4" s="25"/>
      <c r="F4" s="25"/>
      <c r="G4" s="26"/>
      <c r="H4" s="26"/>
    </row>
    <row r="5" spans="1:17" ht="54.75" customHeight="1">
      <c r="C5" s="36"/>
      <c r="D5" s="1116" t="str">
        <f>PURCH_NAME_FORM</f>
        <v>Форма 19.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1117"/>
      <c r="F5" s="1117"/>
      <c r="G5" s="1118"/>
      <c r="H5" s="160"/>
    </row>
    <row r="6" spans="1:17" s="24" customFormat="1" ht="17.25" customHeight="1">
      <c r="A6" s="42"/>
      <c r="B6" s="72"/>
      <c r="C6" s="36"/>
      <c r="D6" s="1228" t="str">
        <f>IF(org=0,"Не определено",org)</f>
        <v>ООО "ТЕПЛО ПЛЮС"</v>
      </c>
      <c r="E6" s="1229"/>
      <c r="F6" s="1229"/>
      <c r="G6" s="1230"/>
      <c r="H6" s="160"/>
      <c r="J6" s="79"/>
      <c r="K6" s="79"/>
    </row>
    <row r="7" spans="1:17" ht="14.25" customHeight="1">
      <c r="C7" s="36"/>
      <c r="D7" s="25"/>
      <c r="E7" s="35"/>
      <c r="F7" s="35"/>
      <c r="G7" s="463"/>
      <c r="H7" s="109"/>
    </row>
    <row r="8" spans="1:17" ht="14.25" customHeight="1">
      <c r="C8" s="36"/>
      <c r="D8" s="1213" t="s">
        <v>292</v>
      </c>
      <c r="E8" s="1213"/>
      <c r="F8" s="1213"/>
      <c r="G8" s="1213"/>
      <c r="H8" s="1325" t="s">
        <v>293</v>
      </c>
    </row>
    <row r="9" spans="1:17" ht="14.25" customHeight="1">
      <c r="C9" s="36"/>
      <c r="D9" s="45" t="s">
        <v>88</v>
      </c>
      <c r="E9" s="48" t="s">
        <v>294</v>
      </c>
      <c r="F9" s="48" t="s">
        <v>295</v>
      </c>
      <c r="G9" s="48" t="s">
        <v>384</v>
      </c>
      <c r="H9" s="1325"/>
    </row>
    <row r="10" spans="1:17" ht="14.25" customHeight="1">
      <c r="A10" s="43"/>
      <c r="C10" s="36"/>
      <c r="D10" s="73" t="s">
        <v>109</v>
      </c>
      <c r="E10" s="12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078"/>
      <c r="G10" s="122"/>
      <c r="H10" s="1169" t="s">
        <v>1597</v>
      </c>
    </row>
    <row r="11" spans="1:17" ht="14.25" customHeight="1">
      <c r="A11" s="43"/>
      <c r="C11" s="36"/>
      <c r="D11" s="73" t="s">
        <v>110</v>
      </c>
      <c r="E11" s="12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078"/>
      <c r="G11" s="122"/>
      <c r="H11" s="1170"/>
    </row>
    <row r="12" spans="1:17" ht="22.5" customHeight="1">
      <c r="A12" s="43"/>
      <c r="C12" s="29"/>
      <c r="D12" s="73" t="s">
        <v>90</v>
      </c>
      <c r="E12" s="128" t="str">
        <f>"Сведения о планировании закупочных процедур"&amp;IF(TEMPLATE_SPHERE="TKO"," &lt;1&gt;","")</f>
        <v>Сведения о планировании закупочных процедур</v>
      </c>
      <c r="F12" s="1078"/>
      <c r="G12" s="122"/>
      <c r="H12" s="1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79"/>
      <c r="K12" s="24"/>
    </row>
    <row r="13" spans="1:17" ht="22.5" customHeight="1">
      <c r="A13" s="43"/>
      <c r="C13" s="29"/>
      <c r="D13" s="73" t="s">
        <v>91</v>
      </c>
      <c r="E13" s="128" t="str">
        <f>"Сведения о результатах проведения закупочных процедур"&amp;IF(TEMPLATE_SPHERE="TKO"," &lt;1&gt;","")</f>
        <v>Сведения о результатах проведения закупочных процедур</v>
      </c>
      <c r="F13" s="1078"/>
      <c r="G13" s="122"/>
      <c r="H13" s="1170"/>
      <c r="I13" s="79"/>
      <c r="K13" s="24"/>
    </row>
    <row r="14" spans="1:17" ht="14.25" customHeight="1">
      <c r="A14" s="43"/>
      <c r="C14" s="36"/>
      <c r="D14" s="49"/>
      <c r="E14" s="62" t="s">
        <v>1455</v>
      </c>
      <c r="F14" s="117"/>
      <c r="G14" s="114"/>
      <c r="H14" s="1171"/>
    </row>
    <row r="15" spans="1:17" s="24" customFormat="1" ht="14.25" customHeight="1">
      <c r="A15" s="43"/>
      <c r="B15" s="72"/>
      <c r="C15" s="36"/>
      <c r="D15" s="244"/>
      <c r="E15" s="948"/>
      <c r="F15" s="949"/>
      <c r="G15" s="950"/>
      <c r="H15" s="951"/>
      <c r="J15" s="79"/>
      <c r="K15" s="79"/>
    </row>
    <row r="16" spans="1:17" ht="21.75" customHeight="1">
      <c r="D16" s="210" t="s">
        <v>1510</v>
      </c>
      <c r="E16" s="1336" t="s">
        <v>1598</v>
      </c>
      <c r="F16" s="1336"/>
      <c r="G16" s="1336"/>
      <c r="H16" s="1336"/>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xr:uid="{00000000-0002-0000-1C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xr:uid="{00000000-0002-0000-1C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140E81-EF4D-60FB-62AA-8504E614F238}">
  <sheetPr>
    <tabColor rgb="FFCCCCFF"/>
    <pageSetUpPr fitToPage="1"/>
  </sheetPr>
  <dimension ref="A1:AB28"/>
  <sheetViews>
    <sheetView showGridLines="0" topLeftCell="C2" zoomScale="90" workbookViewId="0">
      <selection activeCell="G22" sqref="G22"/>
    </sheetView>
  </sheetViews>
  <sheetFormatPr defaultColWidth="9.140625" defaultRowHeight="14.25" customHeight="1"/>
  <cols>
    <col min="1" max="1" width="8" style="24" hidden="1" customWidth="1"/>
    <col min="2" max="2" width="6" style="72" hidden="1" customWidth="1"/>
    <col min="3" max="3" width="3.7109375" style="24" customWidth="1"/>
    <col min="4" max="4" width="3.7109375" style="86" customWidth="1"/>
    <col min="5" max="5" width="6.28515625" style="24" customWidth="1"/>
    <col min="6" max="6" width="2.7109375" style="24" hidden="1" customWidth="1"/>
    <col min="7" max="7" width="46.7109375" style="24" customWidth="1"/>
    <col min="8" max="8" width="43.140625" style="24" customWidth="1"/>
    <col min="9" max="9" width="14.85546875" style="24" customWidth="1"/>
    <col min="10" max="10" width="3.7109375" style="79" customWidth="1"/>
    <col min="11" max="13" width="9.140625" style="79" hidden="1"/>
    <col min="14" max="14" width="25.7109375" style="79" hidden="1" customWidth="1"/>
    <col min="15" max="15" width="14.42578125" style="79" hidden="1" customWidth="1"/>
    <col min="16" max="19" width="9.140625" style="131" hidden="1"/>
    <col min="20" max="27" width="9.140625" style="24" hidden="1"/>
    <col min="28" max="28" width="9.140625" style="24"/>
  </cols>
  <sheetData>
    <row r="1" spans="1:28" s="77" customFormat="1" ht="5.25" hidden="1" customHeight="1">
      <c r="A1" s="216"/>
      <c r="D1" s="127"/>
      <c r="G1" s="150" t="s">
        <v>83</v>
      </c>
      <c r="H1" s="127" t="s">
        <v>84</v>
      </c>
      <c r="I1" s="132" t="s">
        <v>85</v>
      </c>
      <c r="J1" s="150" t="s">
        <v>83</v>
      </c>
      <c r="K1" s="150"/>
      <c r="L1" s="150"/>
      <c r="M1" s="150"/>
      <c r="N1" s="150"/>
      <c r="O1" s="150"/>
      <c r="P1" s="150"/>
      <c r="Q1" s="150"/>
      <c r="R1" s="150"/>
      <c r="S1" s="150"/>
      <c r="T1" s="132"/>
      <c r="U1" s="132"/>
      <c r="V1" s="132"/>
      <c r="W1" s="132"/>
      <c r="X1" s="132"/>
      <c r="Y1" s="132"/>
      <c r="Z1" s="132"/>
      <c r="AA1" s="132"/>
      <c r="AB1" s="132"/>
    </row>
    <row r="2" spans="1:28" s="136" customFormat="1" ht="11.25" customHeight="1">
      <c r="A2" s="89"/>
      <c r="B2" s="133"/>
      <c r="C2" s="133"/>
      <c r="D2" s="134"/>
      <c r="E2" s="133"/>
      <c r="F2" s="133"/>
      <c r="G2" s="133"/>
      <c r="H2" s="133"/>
      <c r="I2" s="133"/>
      <c r="J2" s="150"/>
      <c r="K2" s="150"/>
      <c r="L2" s="150"/>
      <c r="M2" s="150"/>
      <c r="N2" s="150"/>
      <c r="O2" s="150"/>
      <c r="P2" s="135"/>
      <c r="Q2" s="135"/>
      <c r="R2" s="135"/>
      <c r="S2" s="135"/>
      <c r="T2" s="134"/>
      <c r="U2" s="134"/>
      <c r="V2" s="134"/>
      <c r="W2" s="134"/>
      <c r="X2" s="134"/>
      <c r="Y2" s="134"/>
      <c r="Z2" s="134"/>
      <c r="AA2" s="134"/>
      <c r="AB2" s="134"/>
    </row>
    <row r="3" spans="1:28" s="55" customFormat="1" ht="3" customHeight="1">
      <c r="A3" s="24"/>
      <c r="B3" s="72"/>
      <c r="C3" s="24"/>
      <c r="D3" s="86"/>
      <c r="E3" s="24"/>
      <c r="F3" s="24"/>
      <c r="G3" s="24"/>
      <c r="H3" s="24"/>
      <c r="I3" s="87"/>
      <c r="J3" s="150"/>
      <c r="K3" s="79"/>
      <c r="L3" s="79"/>
      <c r="M3" s="79"/>
      <c r="N3" s="79"/>
      <c r="O3" s="79"/>
      <c r="P3" s="131"/>
      <c r="Q3" s="131"/>
      <c r="R3" s="131"/>
      <c r="S3" s="131"/>
    </row>
    <row r="4" spans="1:28" s="55" customFormat="1" ht="25.5" customHeight="1">
      <c r="A4" s="24"/>
      <c r="B4" s="72"/>
      <c r="C4" s="24"/>
      <c r="D4" s="86"/>
      <c r="E4" s="1109" t="str">
        <f>NameTemplatesInListMO</f>
        <v>Перечень муниципальных районов и муниципальных образований (территорий действия тарифа)</v>
      </c>
      <c r="F4" s="1109"/>
      <c r="G4" s="1109"/>
      <c r="H4" s="1109"/>
      <c r="I4" s="1109"/>
      <c r="J4" s="150"/>
      <c r="K4" s="79"/>
      <c r="L4" s="79"/>
      <c r="M4" s="79"/>
      <c r="N4" s="79"/>
      <c r="O4" s="79"/>
      <c r="P4" s="131"/>
      <c r="Q4" s="131"/>
      <c r="R4" s="131"/>
      <c r="S4" s="131"/>
    </row>
    <row r="5" spans="1:28" s="55" customFormat="1" ht="3" customHeight="1">
      <c r="A5" s="24"/>
      <c r="B5" s="72"/>
      <c r="C5" s="24"/>
      <c r="D5" s="86"/>
      <c r="E5" s="24"/>
      <c r="F5" s="24"/>
      <c r="G5" s="88"/>
      <c r="H5" s="88"/>
      <c r="I5" s="89"/>
      <c r="J5" s="79"/>
      <c r="K5" s="79"/>
      <c r="L5" s="79"/>
      <c r="M5" s="79"/>
      <c r="N5" s="79"/>
      <c r="O5" s="79"/>
      <c r="P5" s="131"/>
      <c r="Q5" s="131"/>
      <c r="R5" s="131"/>
      <c r="S5" s="131"/>
    </row>
    <row r="6" spans="1:28" s="55" customFormat="1" ht="20.25" hidden="1" customHeight="1">
      <c r="A6" s="43"/>
      <c r="B6" s="71"/>
      <c r="C6" s="43"/>
      <c r="D6" s="86"/>
      <c r="E6" s="214"/>
      <c r="F6" s="214"/>
      <c r="G6" s="88"/>
      <c r="H6" s="90"/>
      <c r="I6" s="90"/>
      <c r="J6" s="79"/>
      <c r="K6" s="79"/>
      <c r="L6" s="79"/>
      <c r="M6" s="79"/>
      <c r="N6" s="79"/>
      <c r="O6" s="79"/>
      <c r="P6" s="131"/>
      <c r="Q6" s="131"/>
      <c r="R6" s="131"/>
      <c r="S6" s="131"/>
    </row>
    <row r="7" spans="1:28" ht="25.5" hidden="1" customHeight="1"/>
    <row r="8" spans="1:28" s="55" customFormat="1" ht="14.25" customHeight="1">
      <c r="A8" s="24"/>
      <c r="B8" s="72"/>
      <c r="C8" s="24"/>
      <c r="D8" s="86"/>
      <c r="E8" s="1105" t="s">
        <v>86</v>
      </c>
      <c r="F8" s="1110"/>
      <c r="G8" s="1104"/>
      <c r="H8" s="1111" t="s">
        <v>87</v>
      </c>
      <c r="I8" s="1111"/>
      <c r="J8" s="79"/>
      <c r="K8" s="79"/>
      <c r="L8" s="79"/>
      <c r="M8" s="79"/>
      <c r="N8" s="79"/>
      <c r="O8" s="79"/>
      <c r="P8" s="131"/>
      <c r="Q8" s="131"/>
      <c r="R8" s="131"/>
      <c r="S8" s="131"/>
    </row>
    <row r="9" spans="1:28" s="55" customFormat="1" ht="20.25" customHeight="1">
      <c r="A9" s="24"/>
      <c r="B9" s="72"/>
      <c r="C9" s="24"/>
      <c r="D9" s="86"/>
      <c r="E9" s="479" t="s">
        <v>88</v>
      </c>
      <c r="F9" s="479"/>
      <c r="G9" s="92" t="s">
        <v>89</v>
      </c>
      <c r="H9" s="92" t="s">
        <v>89</v>
      </c>
      <c r="I9" s="92" t="s">
        <v>85</v>
      </c>
      <c r="J9" s="79"/>
      <c r="K9" s="79"/>
      <c r="L9" s="79"/>
      <c r="M9" s="79"/>
      <c r="N9" s="79"/>
      <c r="O9" s="79"/>
      <c r="P9" s="131"/>
      <c r="Q9" s="131"/>
      <c r="R9" s="131"/>
      <c r="S9" s="131"/>
    </row>
    <row r="10" spans="1:28" ht="11.25" customHeight="1">
      <c r="D10" s="96"/>
      <c r="E10" s="129" t="s">
        <v>90</v>
      </c>
      <c r="F10" s="129"/>
      <c r="G10" s="129" t="s">
        <v>91</v>
      </c>
      <c r="H10" s="129" t="s">
        <v>92</v>
      </c>
      <c r="I10" s="129" t="s">
        <v>93</v>
      </c>
      <c r="J10" s="91"/>
      <c r="K10" s="91"/>
      <c r="L10" s="91"/>
      <c r="M10" s="91"/>
      <c r="N10" s="91"/>
      <c r="O10" s="91"/>
      <c r="P10" s="130"/>
      <c r="Q10" s="130"/>
      <c r="R10" s="130"/>
      <c r="S10" s="130"/>
    </row>
    <row r="11" spans="1:28" s="55" customFormat="1" ht="0.75" customHeight="1">
      <c r="A11" s="24"/>
      <c r="B11" s="72"/>
      <c r="C11" s="24"/>
      <c r="D11" s="86"/>
      <c r="E11" s="486"/>
      <c r="F11" s="486"/>
      <c r="G11" s="93"/>
      <c r="H11" s="93"/>
      <c r="I11" s="95"/>
      <c r="J11" s="151" t="s">
        <v>94</v>
      </c>
      <c r="K11" s="79"/>
      <c r="L11" s="79"/>
      <c r="M11" s="79" t="s">
        <v>95</v>
      </c>
      <c r="N11" s="79" t="s">
        <v>96</v>
      </c>
      <c r="O11" s="79" t="s">
        <v>97</v>
      </c>
      <c r="P11" s="131"/>
      <c r="Q11" s="131"/>
      <c r="R11" s="131"/>
      <c r="S11" s="131"/>
    </row>
    <row r="12" spans="1:28" s="55" customFormat="1" ht="14.25" customHeight="1">
      <c r="A12" s="1108">
        <v>1</v>
      </c>
      <c r="B12" s="72"/>
      <c r="C12" s="24"/>
      <c r="D12" s="86"/>
      <c r="E12" s="50">
        <f>A12</f>
        <v>1</v>
      </c>
      <c r="F12" s="341" t="s">
        <v>98</v>
      </c>
      <c r="G12" s="330" t="str">
        <f>"Территория "&amp;E12</f>
        <v>Территория 1</v>
      </c>
      <c r="H12" s="488"/>
      <c r="I12" s="488"/>
      <c r="J12" s="79"/>
      <c r="K12" s="79"/>
      <c r="L12" s="79"/>
      <c r="M12" s="79"/>
      <c r="N12" s="79"/>
      <c r="O12" s="79"/>
      <c r="P12" s="131"/>
      <c r="Q12" s="131"/>
      <c r="R12" s="131"/>
      <c r="S12" s="131"/>
    </row>
    <row r="13" spans="1:28" ht="15" customHeight="1">
      <c r="A13" s="1108"/>
      <c r="B13" s="72">
        <v>1</v>
      </c>
      <c r="C13" s="72"/>
      <c r="D13" s="495"/>
      <c r="E13" s="480" t="str">
        <f>A12&amp;"."&amp;B13</f>
        <v>1.1</v>
      </c>
      <c r="F13" s="491" t="s">
        <v>99</v>
      </c>
      <c r="G13" s="489" t="s">
        <v>100</v>
      </c>
      <c r="H13" s="489" t="s">
        <v>100</v>
      </c>
      <c r="I13" s="487" t="s">
        <v>101</v>
      </c>
      <c r="J13" s="79" t="e">
        <f ca="1">MERGEVALUE(G13)</f>
        <v>#NAME?</v>
      </c>
      <c r="K13" s="77"/>
      <c r="L13" s="77"/>
      <c r="M13" s="79" t="str">
        <f t="array" ref="M13">IF(ISERROR(MATCH(MID(N13,1,250),MID(note_ter,1,250),0)),"n","y")</f>
        <v>n</v>
      </c>
      <c r="N13" s="77"/>
      <c r="O13" s="79" t="str">
        <f>H13&amp;"("&amp;I13&amp;")"</f>
        <v>Кстовский муниципальный округ(22537000)</v>
      </c>
      <c r="P13" s="72"/>
      <c r="Q13" s="72"/>
      <c r="R13" s="258"/>
      <c r="S13" s="72"/>
      <c r="T13" s="72"/>
      <c r="U13" s="72"/>
      <c r="V13" s="71"/>
      <c r="W13" s="71"/>
      <c r="X13" s="111"/>
      <c r="Y13" s="111"/>
      <c r="Z13" s="111"/>
      <c r="AA13" s="111"/>
      <c r="AB13" s="111"/>
    </row>
    <row r="14" spans="1:28" ht="15" customHeight="1">
      <c r="A14" s="1108"/>
      <c r="C14" s="257"/>
      <c r="D14" s="496"/>
      <c r="E14" s="259"/>
      <c r="F14" s="97"/>
      <c r="G14" s="116" t="s">
        <v>102</v>
      </c>
      <c r="H14" s="105"/>
      <c r="I14" s="260"/>
      <c r="J14" s="77"/>
      <c r="K14" s="77"/>
      <c r="L14" s="77"/>
      <c r="M14" s="77"/>
      <c r="O14" s="77"/>
      <c r="P14" s="72"/>
      <c r="Q14" s="72"/>
      <c r="R14" s="258"/>
      <c r="S14" s="72"/>
      <c r="T14" s="72"/>
      <c r="U14" s="72"/>
      <c r="V14" s="71"/>
      <c r="W14" s="71"/>
      <c r="X14" s="111"/>
      <c r="Y14" s="111"/>
      <c r="Z14" s="111"/>
      <c r="AA14" s="111"/>
      <c r="AB14" s="111"/>
    </row>
    <row r="15" spans="1:28" s="55" customFormat="1" ht="14.25" customHeight="1">
      <c r="A15" s="24"/>
      <c r="B15" s="72"/>
      <c r="C15" s="24"/>
      <c r="D15" s="86"/>
      <c r="E15" s="490"/>
      <c r="F15" s="98"/>
      <c r="G15" s="62" t="s">
        <v>103</v>
      </c>
      <c r="H15" s="98"/>
      <c r="I15" s="99"/>
      <c r="J15" s="151"/>
      <c r="K15" s="79"/>
      <c r="L15" s="79"/>
      <c r="M15" s="79"/>
      <c r="N15" s="79" t="s">
        <v>104</v>
      </c>
      <c r="O15" s="79"/>
      <c r="P15" s="131"/>
      <c r="Q15" s="131"/>
      <c r="R15" s="131"/>
      <c r="S15" s="131"/>
    </row>
    <row r="16" spans="1:28" s="55" customFormat="1" ht="21" customHeight="1">
      <c r="A16" s="24"/>
      <c r="B16" s="72"/>
      <c r="C16" s="24"/>
      <c r="D16" s="86"/>
      <c r="E16" s="100"/>
      <c r="F16" s="100"/>
      <c r="G16" s="100"/>
      <c r="H16" s="100"/>
      <c r="I16" s="100"/>
      <c r="J16" s="79"/>
      <c r="K16" s="79"/>
      <c r="L16" s="79"/>
      <c r="M16" s="79"/>
      <c r="N16" s="79"/>
      <c r="O16" s="79"/>
      <c r="P16" s="131"/>
      <c r="Q16" s="131"/>
      <c r="R16" s="131"/>
      <c r="S16" s="131"/>
    </row>
    <row r="17" spans="1:19" s="55" customFormat="1" ht="14.25" customHeight="1">
      <c r="A17" s="24"/>
      <c r="B17" s="72"/>
      <c r="C17" s="24"/>
      <c r="D17" s="86"/>
      <c r="E17" s="24"/>
      <c r="F17" s="24"/>
      <c r="G17" s="24"/>
      <c r="H17" s="24"/>
      <c r="I17" s="24"/>
      <c r="J17" s="79"/>
      <c r="K17" s="79"/>
      <c r="L17" s="79"/>
      <c r="M17" s="79"/>
      <c r="N17" s="79"/>
      <c r="O17" s="79"/>
      <c r="P17" s="131"/>
      <c r="Q17" s="131"/>
      <c r="R17" s="131"/>
      <c r="S17" s="131"/>
    </row>
    <row r="18" spans="1:19" s="55" customFormat="1" ht="0.75" customHeight="1">
      <c r="A18" s="24"/>
      <c r="B18" s="72"/>
      <c r="C18" s="24"/>
      <c r="D18" s="86"/>
      <c r="E18" s="24"/>
      <c r="F18" s="24"/>
      <c r="G18" s="24"/>
      <c r="H18" s="24"/>
      <c r="I18" s="24"/>
      <c r="J18" s="79"/>
      <c r="K18" s="79"/>
      <c r="L18" s="79"/>
      <c r="M18" s="79"/>
      <c r="N18" s="79"/>
      <c r="O18" s="79"/>
      <c r="P18" s="131"/>
      <c r="Q18" s="131"/>
      <c r="R18" s="131"/>
      <c r="S18" s="131"/>
    </row>
    <row r="19" spans="1:19" s="101" customFormat="1" ht="10.5" customHeight="1">
      <c r="B19" s="510"/>
      <c r="D19" s="102"/>
      <c r="J19" s="79"/>
      <c r="K19" s="79"/>
      <c r="L19" s="79"/>
      <c r="M19" s="79"/>
      <c r="N19" s="79"/>
      <c r="O19" s="79"/>
      <c r="P19" s="131"/>
      <c r="Q19" s="131"/>
      <c r="R19" s="131"/>
      <c r="S19" s="131"/>
    </row>
    <row r="20" spans="1:19" s="101" customFormat="1" ht="10.5" customHeight="1">
      <c r="B20" s="510"/>
      <c r="D20" s="102"/>
      <c r="J20" s="79"/>
      <c r="K20" s="79"/>
      <c r="L20" s="79"/>
      <c r="M20" s="79"/>
      <c r="N20" s="79"/>
      <c r="O20" s="79"/>
      <c r="P20" s="131"/>
      <c r="Q20" s="131"/>
      <c r="R20" s="131"/>
      <c r="S20" s="131"/>
    </row>
    <row r="24" spans="1:19" ht="14.25" customHeight="1">
      <c r="H24"/>
    </row>
    <row r="28" spans="1:19" ht="14.25" customHeight="1">
      <c r="J28" s="24"/>
      <c r="K28" s="24"/>
      <c r="L28" s="24"/>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60"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9FC549-C9E9-9E4B-F88C-1C3A6A62375A}">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4313DA-D4D2-3FE2-F97B-0F28165DF4D9}">
  <sheetPr>
    <tabColor theme="2" tint="-9.9978637043366805E-2"/>
  </sheetPr>
  <dimension ref="A1:U29"/>
  <sheetViews>
    <sheetView showGridLines="0" topLeftCell="C7" zoomScale="90" workbookViewId="0">
      <selection activeCell="I26" sqref="I26"/>
    </sheetView>
  </sheetViews>
  <sheetFormatPr defaultColWidth="10.5703125" defaultRowHeight="15" customHeight="1"/>
  <cols>
    <col min="1" max="1" width="9.140625" style="54" hidden="1" customWidth="1"/>
    <col min="2" max="2" width="9.140625" style="24" hidden="1" customWidth="1"/>
    <col min="3" max="3" width="4.7109375" style="96" customWidth="1"/>
    <col min="4" max="4" width="6.28515625" style="24" customWidth="1"/>
    <col min="5" max="5" width="47.85546875" style="24" customWidth="1"/>
    <col min="6" max="6" width="9.5703125" style="24" customWidth="1"/>
    <col min="7" max="7" width="25.7109375" style="24" hidden="1" customWidth="1"/>
    <col min="8" max="8" width="34" style="24" hidden="1" customWidth="1"/>
    <col min="9" max="9" width="25.7109375" style="24" customWidth="1"/>
    <col min="10" max="10" width="34" style="24" customWidth="1"/>
    <col min="11" max="11" width="50.85546875" style="72" customWidth="1"/>
    <col min="12" max="20" width="10.5703125" style="24"/>
    <col min="21" max="21" width="10.5703125" style="410"/>
  </cols>
  <sheetData>
    <row r="1" spans="1:21" s="72" customFormat="1" ht="15" hidden="1" customHeight="1">
      <c r="C1" s="388"/>
      <c r="G1" s="72">
        <v>4</v>
      </c>
      <c r="I1" s="72">
        <v>4</v>
      </c>
      <c r="U1" s="258"/>
    </row>
    <row r="2" spans="1:21" s="24" customFormat="1" ht="15" hidden="1" customHeight="1">
      <c r="A2" s="54"/>
      <c r="C2" s="96"/>
      <c r="D2" s="214"/>
      <c r="E2" s="409"/>
      <c r="F2" s="68"/>
      <c r="G2" s="88"/>
      <c r="H2" s="88"/>
      <c r="I2" s="88"/>
      <c r="J2" s="88"/>
      <c r="U2" s="410"/>
    </row>
    <row r="3" spans="1:21" s="72" customFormat="1" ht="15" hidden="1" customHeight="1">
      <c r="C3" s="388"/>
      <c r="U3" s="258"/>
    </row>
    <row r="5" spans="1:21" ht="63" customHeight="1">
      <c r="D5" s="1116" t="s">
        <v>1599</v>
      </c>
      <c r="E5" s="1117"/>
      <c r="F5" s="1117"/>
      <c r="G5" s="1117"/>
      <c r="H5" s="1117"/>
      <c r="I5" s="1117"/>
      <c r="J5" s="1118"/>
    </row>
    <row r="6" spans="1:21" ht="15" customHeight="1">
      <c r="D6" s="1228" t="str">
        <f>IF(org=0,"Не определено",org)</f>
        <v>ООО "ТЕПЛО ПЛЮС"</v>
      </c>
      <c r="E6" s="1229"/>
      <c r="F6" s="1229"/>
      <c r="G6" s="1229"/>
      <c r="H6" s="1229"/>
      <c r="I6" s="1229"/>
      <c r="J6" s="1230"/>
    </row>
    <row r="7" spans="1:21" ht="15" customHeight="1">
      <c r="D7" s="463"/>
      <c r="G7" s="72">
        <v>22</v>
      </c>
      <c r="I7" s="72">
        <v>1</v>
      </c>
      <c r="J7" s="463"/>
    </row>
    <row r="8" spans="1:21" s="24" customFormat="1" ht="0.75" customHeight="1">
      <c r="A8" s="54"/>
      <c r="C8" s="96"/>
      <c r="G8" s="72"/>
      <c r="H8" s="463"/>
      <c r="I8" s="72" t="s">
        <v>117</v>
      </c>
      <c r="J8" s="463"/>
      <c r="K8" s="72"/>
      <c r="U8" s="410"/>
    </row>
    <row r="9" spans="1:21" ht="15" customHeight="1">
      <c r="D9" s="435"/>
      <c r="E9" s="1411" t="s">
        <v>105</v>
      </c>
      <c r="F9" s="1412"/>
      <c r="G9" s="1409" t="str">
        <f>IF(G8="","",INDEX(DIFFERENTIATION_UNMERGE_VD,MATCH(G8,DIFFERENTIATION_ID_DIFF,0)))</f>
        <v/>
      </c>
      <c r="H9" s="1410"/>
      <c r="I9" s="1409" t="str">
        <f>IF(I8="","",INDEX(DIFFERENTIATION_UNMERGE_VD,MATCH(I8,DIFFERENTIATION_ID_DIFF,0)))</f>
        <v>Производство тепловой энергии. Некомбинированная выработка</v>
      </c>
      <c r="J9" s="1410"/>
      <c r="K9" s="1182" t="s">
        <v>293</v>
      </c>
    </row>
    <row r="10" spans="1:21" s="24" customFormat="1" ht="15" customHeight="1">
      <c r="A10" s="54"/>
      <c r="C10" s="96"/>
      <c r="D10" s="435"/>
      <c r="E10" s="1411" t="s">
        <v>1421</v>
      </c>
      <c r="F10" s="1412"/>
      <c r="G10" s="1409" t="str">
        <f>IF(G8="","",INDEX(DIFFERENTIATION_UNMERGE_AREA,MATCH(G8,DIFFERENTIATION_ID_DIFF,0)))</f>
        <v/>
      </c>
      <c r="H10" s="1410"/>
      <c r="I10" s="1409" t="str">
        <f>IF(I8="","",INDEX(DIFFERENTIATION_UNMERGE_AREA,MATCH(I8,DIFFERENTIATION_ID_DIFF,0)))</f>
        <v>без дифференциации</v>
      </c>
      <c r="J10" s="1410"/>
      <c r="K10" s="1187"/>
      <c r="U10" s="410"/>
    </row>
    <row r="11" spans="1:21" s="24" customFormat="1" ht="15" customHeight="1">
      <c r="A11" s="54"/>
      <c r="C11" s="96"/>
      <c r="D11" s="435"/>
      <c r="E11" s="1411" t="s">
        <v>1422</v>
      </c>
      <c r="F11" s="1412"/>
      <c r="G11" s="1409" t="str">
        <f>IF(G8="","",INDEX(DIFFERENTIATION_UNMERGE_SYSTEM,MATCH(G8,DIFFERENTIATION_ID_DIFF,0)))</f>
        <v/>
      </c>
      <c r="H11" s="1410"/>
      <c r="I11" s="1409" t="str">
        <f>IF(I8="","",INDEX(DIFFERENTIATION_UNMERGE_SYSTEM,MATCH(I8,DIFFERENTIATION_ID_DIFF,0)))</f>
        <v>без дифференциации</v>
      </c>
      <c r="J11" s="1410"/>
      <c r="K11" s="1187"/>
      <c r="U11" s="410"/>
    </row>
    <row r="12" spans="1:21" s="24" customFormat="1" ht="15" customHeight="1">
      <c r="A12" s="54"/>
      <c r="C12" s="96"/>
      <c r="D12" s="1413" t="s">
        <v>292</v>
      </c>
      <c r="E12" s="1414"/>
      <c r="F12" s="1414"/>
      <c r="G12" s="550"/>
      <c r="H12" s="550"/>
      <c r="I12" s="550"/>
      <c r="J12" s="550"/>
      <c r="K12" s="1187"/>
      <c r="U12" s="410"/>
    </row>
    <row r="13" spans="1:21" ht="33.75" customHeight="1">
      <c r="D13" s="50" t="s">
        <v>88</v>
      </c>
      <c r="E13" s="50" t="s">
        <v>294</v>
      </c>
      <c r="F13" s="50" t="s">
        <v>1600</v>
      </c>
      <c r="G13" s="416" t="s">
        <v>295</v>
      </c>
      <c r="H13" s="50" t="s">
        <v>384</v>
      </c>
      <c r="I13" s="416" t="s">
        <v>295</v>
      </c>
      <c r="J13" s="50" t="s">
        <v>384</v>
      </c>
      <c r="K13" s="1238"/>
    </row>
    <row r="14" spans="1:21" ht="15" hidden="1" customHeight="1">
      <c r="D14" s="371" t="s">
        <v>109</v>
      </c>
      <c r="E14" s="371" t="s">
        <v>110</v>
      </c>
      <c r="F14" s="371" t="s">
        <v>90</v>
      </c>
      <c r="G14" s="96" t="str">
        <f>G1&amp;".1"</f>
        <v>4.1</v>
      </c>
      <c r="H14" s="96"/>
      <c r="I14" s="96" t="str">
        <f>I1&amp;".1"</f>
        <v>4.1</v>
      </c>
      <c r="J14" s="96"/>
      <c r="K14" s="76"/>
    </row>
    <row r="15" spans="1:21" ht="22.5" hidden="1" customHeight="1">
      <c r="A15" s="24"/>
      <c r="C15" s="86"/>
      <c r="D15" s="50">
        <v>1</v>
      </c>
      <c r="E15" s="157" t="s">
        <v>1601</v>
      </c>
      <c r="F15" s="50" t="s">
        <v>1602</v>
      </c>
      <c r="G15" s="411"/>
      <c r="H15" s="411"/>
      <c r="I15" s="411"/>
      <c r="J15" s="411"/>
      <c r="K15" s="76" t="s">
        <v>1603</v>
      </c>
    </row>
    <row r="16" spans="1:21" ht="22.5" hidden="1" customHeight="1">
      <c r="A16" s="24"/>
      <c r="C16" s="86"/>
      <c r="D16" s="50">
        <v>2</v>
      </c>
      <c r="E16" s="157" t="s">
        <v>1604</v>
      </c>
      <c r="F16" s="50" t="s">
        <v>1605</v>
      </c>
      <c r="G16" s="411"/>
      <c r="H16" s="411"/>
      <c r="I16" s="411"/>
      <c r="J16" s="411"/>
      <c r="K16" s="76" t="s">
        <v>1606</v>
      </c>
    </row>
    <row r="17" spans="1:11" ht="123.75" hidden="1" customHeight="1">
      <c r="A17" s="24"/>
      <c r="C17" s="86"/>
      <c r="D17" s="50">
        <v>3</v>
      </c>
      <c r="E17" s="157" t="s">
        <v>1607</v>
      </c>
      <c r="F17" s="50" t="s">
        <v>298</v>
      </c>
      <c r="G17" s="411"/>
      <c r="H17" s="411"/>
      <c r="I17" s="411"/>
      <c r="J17" s="411"/>
      <c r="K17" s="76" t="s">
        <v>1608</v>
      </c>
    </row>
    <row r="18" spans="1:11" ht="45" customHeight="1">
      <c r="A18" s="24"/>
      <c r="C18" s="86"/>
      <c r="D18" s="50">
        <v>4</v>
      </c>
      <c r="E18" s="157" t="s">
        <v>1609</v>
      </c>
      <c r="F18" s="50" t="s">
        <v>298</v>
      </c>
      <c r="G18" s="50" t="s">
        <v>298</v>
      </c>
      <c r="H18" s="366" t="s">
        <v>298</v>
      </c>
      <c r="I18" s="50" t="s">
        <v>298</v>
      </c>
      <c r="J18" s="366" t="s">
        <v>298</v>
      </c>
      <c r="K18" s="76" t="s">
        <v>1610</v>
      </c>
    </row>
    <row r="19" spans="1:11" ht="33.75" customHeight="1">
      <c r="A19" s="24"/>
      <c r="C19" s="86"/>
      <c r="D19" s="52" t="s">
        <v>613</v>
      </c>
      <c r="E19" s="348" t="s">
        <v>1611</v>
      </c>
      <c r="F19" s="50" t="s">
        <v>1612</v>
      </c>
      <c r="G19" s="502"/>
      <c r="H19" s="46"/>
      <c r="I19" s="502"/>
      <c r="J19" s="250"/>
      <c r="K19" s="412"/>
    </row>
    <row r="20" spans="1:11" ht="33.75" customHeight="1">
      <c r="A20" s="24"/>
      <c r="C20" s="86"/>
      <c r="D20" s="52" t="s">
        <v>632</v>
      </c>
      <c r="E20" s="348" t="s">
        <v>1613</v>
      </c>
      <c r="F20" s="50" t="s">
        <v>1614</v>
      </c>
      <c r="G20" s="502"/>
      <c r="H20" s="46"/>
      <c r="I20" s="502"/>
      <c r="J20" s="46"/>
      <c r="K20" s="412"/>
    </row>
    <row r="21" spans="1:11" ht="45" customHeight="1">
      <c r="A21" s="24"/>
      <c r="C21" s="86"/>
      <c r="D21" s="52" t="s">
        <v>1615</v>
      </c>
      <c r="E21" s="348" t="s">
        <v>1616</v>
      </c>
      <c r="F21" s="50" t="s">
        <v>1617</v>
      </c>
      <c r="G21" s="413"/>
      <c r="H21" s="46"/>
      <c r="I21" s="413"/>
      <c r="J21" s="46"/>
      <c r="K21" s="412"/>
    </row>
    <row r="22" spans="1:11" ht="67.5" hidden="1" customHeight="1">
      <c r="A22" s="24"/>
      <c r="C22" s="86"/>
      <c r="D22" s="50">
        <v>5</v>
      </c>
      <c r="E22" s="157" t="s">
        <v>1618</v>
      </c>
      <c r="F22" s="50" t="s">
        <v>1619</v>
      </c>
      <c r="G22" s="414"/>
      <c r="H22" s="415"/>
      <c r="I22" s="414"/>
      <c r="J22" s="415"/>
      <c r="K22" s="76" t="s">
        <v>1620</v>
      </c>
    </row>
    <row r="23" spans="1:11" ht="33.75" hidden="1" customHeight="1">
      <c r="C23" s="86"/>
      <c r="D23" s="50">
        <v>6</v>
      </c>
      <c r="E23" s="157" t="s">
        <v>1621</v>
      </c>
      <c r="F23" s="50" t="s">
        <v>1622</v>
      </c>
      <c r="G23" s="414"/>
      <c r="H23" s="414"/>
      <c r="I23" s="414"/>
      <c r="J23" s="414"/>
      <c r="K23" s="76" t="s">
        <v>1623</v>
      </c>
    </row>
    <row r="29" spans="1:11" ht="15" customHeight="1">
      <c r="J29" s="503"/>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xr:uid="{00000000-0002-0000-1E00-000000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1E00-000001000000}"/>
    <dataValidation type="whole" allowBlank="1" showErrorMessage="1" errorTitle="Ошибка" error="Допускается ввод только неотрицательных целых чисел!" sqref="G19:G20 I19:I20" xr:uid="{00000000-0002-0000-1E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xr:uid="{00000000-0002-0000-1E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FA3D45-9A19-E1C6-3701-3BB1D1912E53}">
  <sheetPr>
    <tabColor theme="2" tint="-9.9978637043366805E-2"/>
  </sheetPr>
  <dimension ref="A1:R22"/>
  <sheetViews>
    <sheetView showGridLines="0" tabSelected="1" topLeftCell="C4" zoomScale="90" workbookViewId="0">
      <selection activeCell="H17" sqref="H17"/>
    </sheetView>
  </sheetViews>
  <sheetFormatPr defaultColWidth="10.5703125" defaultRowHeight="15" customHeight="1"/>
  <cols>
    <col min="1" max="1" width="9.140625" style="54" hidden="1" customWidth="1"/>
    <col min="2" max="2" width="9.140625" style="24" hidden="1" customWidth="1"/>
    <col min="3" max="3" width="4.7109375" style="96" customWidth="1"/>
    <col min="4" max="4" width="6.28515625" style="24" customWidth="1"/>
    <col min="5" max="5" width="36.7109375" style="24" customWidth="1"/>
    <col min="6" max="6" width="9.5703125" style="24" customWidth="1"/>
    <col min="7" max="7" width="42.42578125" style="24" hidden="1" customWidth="1"/>
    <col min="8" max="8" width="40.7109375" style="24" customWidth="1"/>
    <col min="9" max="9" width="93.42578125" style="72" customWidth="1"/>
    <col min="10" max="17" width="10.5703125" style="24"/>
    <col min="18" max="18" width="10.5703125" style="410"/>
  </cols>
  <sheetData>
    <row r="1" spans="1:18" s="72" customFormat="1" ht="15" hidden="1" customHeight="1">
      <c r="C1" s="388"/>
      <c r="H1" s="72">
        <v>4</v>
      </c>
      <c r="R1" s="258"/>
    </row>
    <row r="2" spans="1:18" ht="22.5" hidden="1" customHeight="1">
      <c r="D2" s="52"/>
      <c r="E2" s="233"/>
      <c r="F2" s="50" t="str">
        <f>IF(TEMPLATE_SPHERE="HEAT","Гкал/час","тыс. куб. м/сутки")</f>
        <v>Гкал/час</v>
      </c>
      <c r="G2" s="413"/>
      <c r="H2" s="413"/>
      <c r="I2" s="76"/>
    </row>
    <row r="3" spans="1:18" s="72" customFormat="1" ht="15" hidden="1" customHeight="1">
      <c r="C3" s="388"/>
      <c r="R3" s="258"/>
    </row>
    <row r="5" spans="1:18" ht="47.25" customHeight="1">
      <c r="D5" s="1415" t="str">
        <f>TP_NAME_FORM</f>
        <v>Форма 16.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1415"/>
      <c r="F5" s="1415"/>
      <c r="G5" s="1415"/>
      <c r="H5" s="1415"/>
    </row>
    <row r="6" spans="1:18" ht="15" customHeight="1">
      <c r="D6" s="1215" t="str">
        <f>IF(org=0,"Не определено",org)</f>
        <v>ООО "ТЕПЛО ПЛЮС"</v>
      </c>
      <c r="E6" s="1215"/>
      <c r="F6" s="1215"/>
      <c r="G6" s="1215"/>
      <c r="H6" s="1215"/>
    </row>
    <row r="7" spans="1:18" s="24" customFormat="1" ht="15" customHeight="1">
      <c r="A7" s="54"/>
      <c r="C7" s="96"/>
      <c r="D7" s="368"/>
      <c r="E7" s="368"/>
      <c r="F7" s="368"/>
      <c r="G7" s="368"/>
      <c r="H7" s="463"/>
      <c r="I7" s="72"/>
      <c r="R7" s="410"/>
    </row>
    <row r="8" spans="1:18" ht="0.75" customHeight="1">
      <c r="H8" s="72" t="s">
        <v>117</v>
      </c>
    </row>
    <row r="9" spans="1:18" ht="15" customHeight="1">
      <c r="D9" s="435"/>
      <c r="E9" s="1411" t="s">
        <v>105</v>
      </c>
      <c r="F9" s="1412"/>
      <c r="G9" s="501" t="str">
        <f>IF(G8="","",INDEX(DIFFERENTIATION_UNMERGE_VD,MATCH(G8,DIFFERENTIATION_ID_DIFF,0)))</f>
        <v/>
      </c>
      <c r="H9" s="501" t="str">
        <f>IF(H8="","",INDEX(DIFFERENTIATION_UNMERGE_VD,MATCH(H8,DIFFERENTIATION_ID_DIFF,0)))</f>
        <v>Производство тепловой энергии. Некомбинированная выработка</v>
      </c>
      <c r="I9" s="1123" t="s">
        <v>293</v>
      </c>
    </row>
    <row r="10" spans="1:18" s="24" customFormat="1" ht="15" customHeight="1">
      <c r="A10" s="54"/>
      <c r="C10" s="96"/>
      <c r="D10" s="435"/>
      <c r="E10" s="1411" t="s">
        <v>1421</v>
      </c>
      <c r="F10" s="1412"/>
      <c r="G10" s="501" t="str">
        <f>IF(G8="","",INDEX(DIFFERENTIATION_UNMERGE_AREA,MATCH(G8,DIFFERENTIATION_ID_DIFF,0)))</f>
        <v/>
      </c>
      <c r="H10" s="501" t="str">
        <f>IF(H8="","",INDEX(DIFFERENTIATION_UNMERGE_AREA,MATCH(H8,DIFFERENTIATION_ID_DIFF,0)))</f>
        <v>без дифференциации</v>
      </c>
      <c r="I10" s="1123"/>
      <c r="R10" s="410"/>
    </row>
    <row r="11" spans="1:18" s="24" customFormat="1" ht="15" customHeight="1">
      <c r="A11" s="54"/>
      <c r="C11" s="96"/>
      <c r="D11" s="435"/>
      <c r="E11" s="1411" t="s">
        <v>1422</v>
      </c>
      <c r="F11" s="1412"/>
      <c r="G11" s="501" t="str">
        <f>IF(G8="","",INDEX(DIFFERENTIATION_UNMERGE_SYSTEM,MATCH(G8,DIFFERENTIATION_ID_DIFF,0)))</f>
        <v/>
      </c>
      <c r="H11" s="501" t="str">
        <f>IF(H8="","",INDEX(DIFFERENTIATION_UNMERGE_SYSTEM,MATCH(H8,DIFFERENTIATION_ID_DIFF,0)))</f>
        <v>без дифференциации</v>
      </c>
      <c r="I11" s="1123"/>
      <c r="R11" s="410"/>
    </row>
    <row r="12" spans="1:18" s="24" customFormat="1" ht="15" customHeight="1">
      <c r="A12" s="54"/>
      <c r="C12" s="96"/>
      <c r="D12" s="1413" t="s">
        <v>292</v>
      </c>
      <c r="E12" s="1414"/>
      <c r="F12" s="1414"/>
      <c r="G12" s="550"/>
      <c r="H12" s="550"/>
      <c r="I12" s="1123"/>
      <c r="R12" s="410"/>
    </row>
    <row r="13" spans="1:18" ht="33.75" customHeight="1">
      <c r="D13" s="50" t="s">
        <v>88</v>
      </c>
      <c r="E13" s="50" t="s">
        <v>294</v>
      </c>
      <c r="F13" s="50" t="s">
        <v>1600</v>
      </c>
      <c r="G13" s="416" t="s">
        <v>295</v>
      </c>
      <c r="H13" s="416" t="s">
        <v>295</v>
      </c>
      <c r="I13" s="1123"/>
    </row>
    <row r="14" spans="1:18" ht="15" hidden="1" customHeight="1">
      <c r="D14" s="371" t="s">
        <v>109</v>
      </c>
      <c r="E14" s="371" t="s">
        <v>110</v>
      </c>
      <c r="F14" s="371" t="s">
        <v>90</v>
      </c>
      <c r="G14" s="96" t="str">
        <f>G1&amp;".1"</f>
        <v>.1</v>
      </c>
      <c r="H14" s="96" t="str">
        <f>H1&amp;".1"</f>
        <v>4.1</v>
      </c>
      <c r="I14" s="76"/>
    </row>
    <row r="15" spans="1:18" ht="15" customHeight="1">
      <c r="A15" s="24"/>
      <c r="C15" s="86"/>
      <c r="D15" s="50">
        <v>1</v>
      </c>
      <c r="E15" s="157" t="str">
        <f>TP_P_A</f>
        <v>Количество поданных заявок</v>
      </c>
      <c r="F15" s="50" t="s">
        <v>1624</v>
      </c>
      <c r="G15" s="417"/>
      <c r="H15" s="417">
        <v>2</v>
      </c>
      <c r="I15" s="11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row>
    <row r="16" spans="1:18" ht="15" customHeight="1">
      <c r="A16" s="24"/>
      <c r="C16" s="86"/>
      <c r="D16" s="50">
        <v>2</v>
      </c>
      <c r="E16" s="157" t="str">
        <f>TP_P_B</f>
        <v>Количество рассмотренных заявок</v>
      </c>
      <c r="F16" s="50" t="s">
        <v>1624</v>
      </c>
      <c r="G16" s="417"/>
      <c r="H16" s="417">
        <v>2</v>
      </c>
      <c r="I16" s="11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row>
    <row r="17" spans="1:18" ht="78.75" customHeight="1">
      <c r="A17" s="24"/>
      <c r="C17" s="86"/>
      <c r="D17" s="50">
        <v>3</v>
      </c>
      <c r="E17" s="157"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0" t="s">
        <v>1624</v>
      </c>
      <c r="G17" s="417"/>
      <c r="H17" s="417">
        <v>0</v>
      </c>
      <c r="I17" s="119" t="str">
        <f>TP_P_NOTE_V</f>
        <v>Указывается количество заявок с решением об отказе в течение отчетного квартала.</v>
      </c>
    </row>
    <row r="18" spans="1:18" ht="35.25" customHeight="1">
      <c r="A18" s="24"/>
      <c r="C18" s="86"/>
      <c r="D18" s="50">
        <v>4</v>
      </c>
      <c r="E18" s="157" t="str">
        <f>TP_P_V_1</f>
        <v>Причины отказа в заключении договора о подключении (технологическом присоединении) к системе теплоснабжения</v>
      </c>
      <c r="F18" s="50" t="s">
        <v>298</v>
      </c>
      <c r="G18" s="418"/>
      <c r="H18" s="418"/>
      <c r="I18" s="156"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9" spans="1:18" ht="57" customHeight="1">
      <c r="A19" s="24"/>
      <c r="C19" s="86"/>
      <c r="D19" s="50">
        <v>5</v>
      </c>
      <c r="E19" s="157" t="str">
        <f>TP_P_G</f>
        <v>Резерв мощности источников тепловой энергии, входящих в систему теплоснабжения, в течение одного квартала, в том числе:</v>
      </c>
      <c r="F19" s="50" t="str">
        <f>IF(TEMPLATE_SPHERE="HEAT","Гкал/час","тыс. куб. м/сутки")</f>
        <v>Гкал/час</v>
      </c>
      <c r="G19" s="419">
        <f>SUM(G20:G22)</f>
        <v>0</v>
      </c>
      <c r="H19" s="419">
        <f>SUM(H20:H22)</f>
        <v>2.2490000000000001</v>
      </c>
      <c r="I19" s="119"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r="20" spans="1:18" ht="15" hidden="1" customHeight="1">
      <c r="D20" s="24" t="s">
        <v>1625</v>
      </c>
      <c r="E20" s="368"/>
      <c r="I20" s="1028"/>
    </row>
    <row r="21" spans="1:18" ht="27.75" customHeight="1">
      <c r="C21" s="86"/>
      <c r="D21" s="52" t="s">
        <v>307</v>
      </c>
      <c r="E21" s="165" t="s">
        <v>1626</v>
      </c>
      <c r="F21" s="50" t="str">
        <f>IF(TEMPLATE_SPHERE="HEAT","Гкал/час","тыс. куб. м/сутки")</f>
        <v>Гкал/час</v>
      </c>
      <c r="G21" s="413"/>
      <c r="H21" s="413">
        <v>2.2490000000000001</v>
      </c>
      <c r="I21" s="1169"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r="22" spans="1:18" ht="15" customHeight="1">
      <c r="A22" s="24"/>
      <c r="C22" s="24"/>
      <c r="D22" s="49"/>
      <c r="E22" s="116" t="s">
        <v>1627</v>
      </c>
      <c r="F22" s="360"/>
      <c r="G22" s="360"/>
      <c r="H22" s="360"/>
      <c r="I22" s="1171"/>
      <c r="R22" s="24"/>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xr:uid="{00000000-0002-0000-1F00-000000000000}">
      <formula1>0</formula1>
      <formula2>9.99999999999999E+23</formula2>
    </dataValidation>
    <dataValidation type="decimal" allowBlank="1" showErrorMessage="1" errorTitle="Ошибка" error="Допускается ввод только неотрицательных чисел!" sqref="G21:H21 G2:H2" xr:uid="{00000000-0002-0000-1F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xr:uid="{00000000-0002-0000-1F00-000002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1F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B63323-F373-C716-6FFC-4469CD77D33D}">
  <sheetPr>
    <tabColor rgb="FFDDD9C4"/>
  </sheetPr>
  <dimension ref="A1:U41"/>
  <sheetViews>
    <sheetView showGridLines="0" topLeftCell="D33" zoomScale="90" workbookViewId="0">
      <selection activeCell="J40" sqref="J40"/>
    </sheetView>
  </sheetViews>
  <sheetFormatPr defaultColWidth="10.5703125" defaultRowHeight="15" customHeight="1"/>
  <cols>
    <col min="1" max="1" width="9.140625" style="54" hidden="1" customWidth="1"/>
    <col min="2" max="2" width="9.140625" style="24" hidden="1" customWidth="1"/>
    <col min="3" max="3" width="4.7109375" style="96" customWidth="1"/>
    <col min="4" max="4" width="6.28515625" style="24" customWidth="1"/>
    <col min="5" max="5" width="36.7109375" style="24" customWidth="1"/>
    <col min="6" max="6" width="9.5703125" style="24" customWidth="1"/>
    <col min="7" max="7" width="25.7109375" style="24" hidden="1" customWidth="1"/>
    <col min="8" max="8" width="33.7109375" style="24" hidden="1" customWidth="1"/>
    <col min="9" max="9" width="25.7109375" style="24" customWidth="1"/>
    <col min="10" max="10" width="33.7109375" style="24" customWidth="1"/>
    <col min="11" max="11" width="93.42578125" style="72" customWidth="1"/>
    <col min="12" max="20" width="10.5703125" style="24"/>
    <col min="21" max="21" width="10.5703125" style="410"/>
  </cols>
  <sheetData>
    <row r="1" spans="1:21" s="72" customFormat="1" ht="15" hidden="1" customHeight="1">
      <c r="C1" s="388"/>
      <c r="G1" s="72">
        <v>4</v>
      </c>
      <c r="I1" s="72">
        <v>4</v>
      </c>
      <c r="U1" s="258"/>
    </row>
    <row r="2" spans="1:21" s="72" customFormat="1" ht="15" hidden="1" customHeight="1">
      <c r="C2" s="388"/>
      <c r="U2" s="258"/>
    </row>
    <row r="3" spans="1:21" ht="22.5" hidden="1" customHeight="1">
      <c r="A3" s="24"/>
      <c r="B3" s="1416"/>
      <c r="C3" s="1417"/>
      <c r="D3" s="420" t="str">
        <f>B3&amp;".1"</f>
        <v>.1</v>
      </c>
      <c r="E3" s="421" t="s">
        <v>1628</v>
      </c>
      <c r="F3" s="422" t="s">
        <v>298</v>
      </c>
      <c r="G3" s="418"/>
      <c r="H3" s="250"/>
      <c r="I3" s="418"/>
      <c r="J3" s="250"/>
      <c r="K3" s="76" t="s">
        <v>1629</v>
      </c>
    </row>
    <row r="4" spans="1:21" ht="15" hidden="1" customHeight="1">
      <c r="A4" s="24"/>
      <c r="B4" s="1416"/>
      <c r="C4" s="1417"/>
      <c r="D4" s="420" t="str">
        <f>B3&amp;".2"</f>
        <v>.2</v>
      </c>
      <c r="E4" s="421" t="s">
        <v>1630</v>
      </c>
      <c r="F4" s="422" t="s">
        <v>298</v>
      </c>
      <c r="G4" s="994" t="s">
        <v>17</v>
      </c>
      <c r="H4" s="250"/>
      <c r="I4" s="994" t="s">
        <v>17</v>
      </c>
      <c r="J4" s="250"/>
      <c r="K4" s="76" t="s">
        <v>1631</v>
      </c>
    </row>
    <row r="5" spans="1:21" s="72" customFormat="1" ht="15" hidden="1" customHeight="1">
      <c r="C5" s="388"/>
      <c r="U5" s="258"/>
    </row>
    <row r="6" spans="1:21" ht="22.5" hidden="1" customHeight="1">
      <c r="A6" s="24"/>
      <c r="B6" s="1416"/>
      <c r="C6" s="1417"/>
      <c r="D6" s="420" t="str">
        <f>B6&amp;".1"</f>
        <v>.1</v>
      </c>
      <c r="E6" s="421" t="s">
        <v>1632</v>
      </c>
      <c r="F6" s="422" t="s">
        <v>298</v>
      </c>
      <c r="G6" s="418"/>
      <c r="H6" s="250"/>
      <c r="I6" s="418"/>
      <c r="J6" s="250"/>
      <c r="K6" s="76" t="s">
        <v>1633</v>
      </c>
    </row>
    <row r="7" spans="1:21" ht="15" hidden="1" customHeight="1">
      <c r="A7" s="24"/>
      <c r="B7" s="1416"/>
      <c r="C7" s="1417"/>
      <c r="D7" s="420" t="str">
        <f>B6&amp;".2"</f>
        <v>.2</v>
      </c>
      <c r="E7" s="421" t="s">
        <v>1630</v>
      </c>
      <c r="F7" s="422" t="s">
        <v>298</v>
      </c>
      <c r="G7" s="994" t="s">
        <v>17</v>
      </c>
      <c r="H7" s="250"/>
      <c r="I7" s="994" t="s">
        <v>17</v>
      </c>
      <c r="J7" s="250"/>
      <c r="K7" s="76" t="s">
        <v>1631</v>
      </c>
    </row>
    <row r="8" spans="1:21" s="72" customFormat="1" ht="15" hidden="1" customHeight="1">
      <c r="C8" s="388"/>
      <c r="U8" s="258"/>
    </row>
    <row r="9" spans="1:21" ht="22.5" hidden="1" customHeight="1">
      <c r="A9" s="24"/>
      <c r="B9" s="1416"/>
      <c r="C9" s="1417"/>
      <c r="D9" s="420" t="str">
        <f>B9&amp;".1"</f>
        <v>.1</v>
      </c>
      <c r="E9" s="421" t="s">
        <v>1634</v>
      </c>
      <c r="F9" s="422" t="s">
        <v>298</v>
      </c>
      <c r="G9" s="427" t="s">
        <v>17</v>
      </c>
      <c r="H9" s="250" t="s">
        <v>17</v>
      </c>
      <c r="I9" s="1085" t="s">
        <v>17</v>
      </c>
      <c r="J9" s="1086" t="s">
        <v>17</v>
      </c>
      <c r="K9" s="76"/>
    </row>
    <row r="10" spans="1:21" ht="15" hidden="1" customHeight="1">
      <c r="A10" s="24"/>
      <c r="B10" s="1416"/>
      <c r="C10" s="1417"/>
      <c r="D10" s="420" t="str">
        <f>B9&amp;".2"</f>
        <v>.2</v>
      </c>
      <c r="E10" s="421" t="s">
        <v>1635</v>
      </c>
      <c r="F10" s="422" t="s">
        <v>298</v>
      </c>
      <c r="G10" s="988" t="s">
        <v>17</v>
      </c>
      <c r="H10" s="250" t="s">
        <v>17</v>
      </c>
      <c r="I10" s="1087" t="s">
        <v>17</v>
      </c>
      <c r="J10" s="1086" t="s">
        <v>17</v>
      </c>
      <c r="K10" s="76" t="s">
        <v>1636</v>
      </c>
    </row>
    <row r="11" spans="1:21" ht="15" hidden="1" customHeight="1">
      <c r="A11" s="24"/>
      <c r="B11" s="1416"/>
      <c r="C11" s="1417"/>
      <c r="D11" s="420" t="str">
        <f>B9&amp;".3"</f>
        <v>.3</v>
      </c>
      <c r="E11" s="421" t="s">
        <v>1637</v>
      </c>
      <c r="F11" s="422" t="s">
        <v>298</v>
      </c>
      <c r="G11" s="988" t="s">
        <v>17</v>
      </c>
      <c r="H11" s="250" t="s">
        <v>17</v>
      </c>
      <c r="I11" s="1087" t="s">
        <v>17</v>
      </c>
      <c r="J11" s="1086" t="s">
        <v>17</v>
      </c>
      <c r="K11" s="76" t="s">
        <v>1638</v>
      </c>
    </row>
    <row r="12" spans="1:21" s="72" customFormat="1" ht="15" hidden="1" customHeight="1">
      <c r="C12" s="388"/>
      <c r="U12" s="258"/>
    </row>
    <row r="13" spans="1:21" ht="33.75" hidden="1" customHeight="1">
      <c r="A13" s="24"/>
      <c r="B13" s="1416"/>
      <c r="C13" s="1417"/>
      <c r="D13" s="420" t="str">
        <f>B13&amp;".1"</f>
        <v>.1</v>
      </c>
      <c r="E13" s="421" t="s">
        <v>1639</v>
      </c>
      <c r="F13" s="422" t="s">
        <v>298</v>
      </c>
      <c r="G13" s="427" t="s">
        <v>17</v>
      </c>
      <c r="H13" s="250" t="s">
        <v>17</v>
      </c>
      <c r="I13" s="427" t="s">
        <v>17</v>
      </c>
      <c r="J13" s="250" t="s">
        <v>17</v>
      </c>
      <c r="K13" s="76" t="s">
        <v>1640</v>
      </c>
    </row>
    <row r="14" spans="1:21" ht="15" hidden="1" customHeight="1">
      <c r="B14" s="1416"/>
      <c r="C14" s="1417"/>
      <c r="D14" s="420" t="str">
        <f>B13&amp;".2"</f>
        <v>.2</v>
      </c>
      <c r="E14" s="421" t="s">
        <v>1641</v>
      </c>
      <c r="F14" s="422" t="s">
        <v>298</v>
      </c>
      <c r="G14" s="988" t="s">
        <v>17</v>
      </c>
      <c r="H14" s="250" t="s">
        <v>17</v>
      </c>
      <c r="I14" s="988" t="s">
        <v>17</v>
      </c>
      <c r="J14" s="250" t="s">
        <v>17</v>
      </c>
      <c r="K14" s="76" t="s">
        <v>1642</v>
      </c>
    </row>
    <row r="15" spans="1:21" s="72" customFormat="1" ht="15" hidden="1" customHeight="1">
      <c r="C15" s="388"/>
      <c r="U15" s="258"/>
    </row>
    <row r="16" spans="1:21" s="72" customFormat="1" ht="15" hidden="1" customHeight="1">
      <c r="C16" s="388"/>
      <c r="U16" s="258"/>
    </row>
    <row r="17" spans="1:21" s="72" customFormat="1" ht="15" hidden="1" customHeight="1">
      <c r="C17" s="388"/>
      <c r="U17" s="258"/>
    </row>
    <row r="18" spans="1:21" s="72" customFormat="1" ht="15" hidden="1" customHeight="1">
      <c r="C18" s="388"/>
      <c r="U18" s="258"/>
    </row>
    <row r="19" spans="1:21" s="72" customFormat="1" ht="15" hidden="1" customHeight="1">
      <c r="C19" s="388"/>
      <c r="U19" s="258"/>
    </row>
    <row r="20" spans="1:21" s="72" customFormat="1" ht="15" hidden="1" customHeight="1">
      <c r="C20" s="388"/>
      <c r="U20" s="258"/>
    </row>
    <row r="22" spans="1:21" ht="27.75" customHeight="1">
      <c r="D22" s="1415" t="s">
        <v>1643</v>
      </c>
      <c r="E22" s="1415"/>
      <c r="F22" s="1415"/>
      <c r="G22" s="1415"/>
      <c r="H22" s="1415"/>
      <c r="I22" s="1415"/>
      <c r="J22" s="368"/>
    </row>
    <row r="23" spans="1:21" ht="15" customHeight="1">
      <c r="D23" s="1215" t="str">
        <f>IF(org=0,"Не определено",org)</f>
        <v>ООО "ТЕПЛО ПЛЮС"</v>
      </c>
      <c r="E23" s="1215"/>
      <c r="F23" s="1215"/>
      <c r="G23" s="1215"/>
      <c r="H23" s="1215"/>
      <c r="I23" s="1215"/>
      <c r="J23" s="368"/>
    </row>
    <row r="24" spans="1:21" ht="15" customHeight="1">
      <c r="G24" s="72">
        <v>22</v>
      </c>
      <c r="H24" s="463"/>
      <c r="I24" s="72">
        <v>22</v>
      </c>
      <c r="J24" s="463"/>
    </row>
    <row r="25" spans="1:21" s="24" customFormat="1" ht="0.75" customHeight="1">
      <c r="A25" s="54"/>
      <c r="C25" s="96"/>
      <c r="G25" s="72"/>
      <c r="H25" s="463"/>
      <c r="I25" s="72" t="s">
        <v>117</v>
      </c>
      <c r="J25" s="463"/>
      <c r="K25" s="72"/>
      <c r="U25" s="410"/>
    </row>
    <row r="26" spans="1:21" ht="15" customHeight="1">
      <c r="D26" s="435"/>
      <c r="E26" s="1411" t="s">
        <v>105</v>
      </c>
      <c r="F26" s="1412"/>
      <c r="G26" s="1409" t="str">
        <f>IF(G25="","",INDEX(DIFFERENTIATION_UNMERGE_VD,MATCH(G25,DIFFERENTIATION_ID_DIFF,0)))</f>
        <v/>
      </c>
      <c r="H26" s="1410"/>
      <c r="I26" s="1409" t="str">
        <f>IF(I25="","",INDEX(DIFFERENTIATION_UNMERGE_VD,MATCH(I25,DIFFERENTIATION_ID_DIFF,0)))</f>
        <v>Производство тепловой энергии. Некомбинированная выработка</v>
      </c>
      <c r="J26" s="1410"/>
      <c r="K26" s="1182" t="s">
        <v>293</v>
      </c>
    </row>
    <row r="27" spans="1:21" s="24" customFormat="1" ht="15" customHeight="1">
      <c r="A27" s="54"/>
      <c r="C27" s="96"/>
      <c r="D27" s="435"/>
      <c r="E27" s="1411" t="s">
        <v>1421</v>
      </c>
      <c r="F27" s="1412"/>
      <c r="G27" s="1409" t="str">
        <f>IF(G25="","",INDEX(DIFFERENTIATION_UNMERGE_AREA,MATCH(G25,DIFFERENTIATION_ID_DIFF,0)))</f>
        <v/>
      </c>
      <c r="H27" s="1410"/>
      <c r="I27" s="1409" t="str">
        <f>IF(I25="","",INDEX(DIFFERENTIATION_UNMERGE_AREA,MATCH(I25,DIFFERENTIATION_ID_DIFF,0)))</f>
        <v>без дифференциации</v>
      </c>
      <c r="J27" s="1410"/>
      <c r="K27" s="1186"/>
      <c r="U27" s="410"/>
    </row>
    <row r="28" spans="1:21" s="24" customFormat="1" ht="15" customHeight="1">
      <c r="A28" s="54"/>
      <c r="C28" s="96"/>
      <c r="D28" s="435"/>
      <c r="E28" s="1411" t="s">
        <v>1422</v>
      </c>
      <c r="F28" s="1412"/>
      <c r="G28" s="1409" t="str">
        <f>IF(G25="","",INDEX(DIFFERENTIATION_UNMERGE_SYSTEM,MATCH(G25,DIFFERENTIATION_ID_DIFF,0)))</f>
        <v/>
      </c>
      <c r="H28" s="1410"/>
      <c r="I28" s="1409" t="str">
        <f>IF(I25="","",INDEX(DIFFERENTIATION_UNMERGE_SYSTEM,MATCH(I25,DIFFERENTIATION_ID_DIFF,0)))</f>
        <v>без дифференциации</v>
      </c>
      <c r="J28" s="1410"/>
      <c r="K28" s="1186"/>
      <c r="U28" s="410"/>
    </row>
    <row r="29" spans="1:21" s="24" customFormat="1" ht="15" customHeight="1">
      <c r="A29" s="54"/>
      <c r="C29" s="96"/>
      <c r="D29" s="1413" t="s">
        <v>292</v>
      </c>
      <c r="E29" s="1414"/>
      <c r="F29" s="1414"/>
      <c r="G29" s="550"/>
      <c r="H29" s="550"/>
      <c r="I29" s="550"/>
      <c r="J29" s="551"/>
      <c r="K29" s="1186"/>
      <c r="U29" s="410"/>
    </row>
    <row r="30" spans="1:21" ht="33.75" customHeight="1">
      <c r="D30" s="50" t="s">
        <v>88</v>
      </c>
      <c r="E30" s="50" t="s">
        <v>294</v>
      </c>
      <c r="F30" s="50" t="s">
        <v>1600</v>
      </c>
      <c r="G30" s="416" t="s">
        <v>295</v>
      </c>
      <c r="H30" s="50" t="s">
        <v>384</v>
      </c>
      <c r="I30" s="416" t="s">
        <v>295</v>
      </c>
      <c r="J30" s="50" t="s">
        <v>384</v>
      </c>
      <c r="K30" s="1189"/>
    </row>
    <row r="31" spans="1:21" ht="15" hidden="1" customHeight="1">
      <c r="D31" s="371"/>
      <c r="E31" s="371"/>
      <c r="F31" s="371"/>
      <c r="G31" s="96"/>
      <c r="H31" s="96"/>
      <c r="I31" s="96"/>
      <c r="J31" s="96"/>
      <c r="K31" s="76"/>
    </row>
    <row r="32" spans="1:21" ht="22.5" customHeight="1">
      <c r="A32" s="24"/>
      <c r="B32" s="24" t="s">
        <v>1644</v>
      </c>
      <c r="C32" s="86"/>
      <c r="D32" s="423">
        <v>1</v>
      </c>
      <c r="E32" s="196" t="s">
        <v>1645</v>
      </c>
      <c r="F32" s="422" t="s">
        <v>298</v>
      </c>
      <c r="G32" s="422" t="s">
        <v>298</v>
      </c>
      <c r="H32" s="422" t="s">
        <v>298</v>
      </c>
      <c r="I32" s="422" t="s">
        <v>298</v>
      </c>
      <c r="J32" s="422" t="s">
        <v>298</v>
      </c>
      <c r="K32" s="76"/>
    </row>
    <row r="33" spans="1:21" ht="11.25" customHeight="1">
      <c r="A33" s="24"/>
      <c r="C33" s="24"/>
      <c r="D33" s="49"/>
      <c r="E33" s="116" t="s">
        <v>1557</v>
      </c>
      <c r="F33" s="360"/>
      <c r="G33" s="360"/>
      <c r="H33" s="360"/>
      <c r="I33" s="360"/>
      <c r="J33" s="360"/>
      <c r="K33" s="361"/>
      <c r="U33" s="24"/>
    </row>
    <row r="34" spans="1:21" ht="22.5" customHeight="1">
      <c r="A34" s="24"/>
      <c r="B34" s="368" t="s">
        <v>1454</v>
      </c>
      <c r="C34" s="86"/>
      <c r="D34" s="423">
        <v>2</v>
      </c>
      <c r="E34" s="196" t="s">
        <v>1646</v>
      </c>
      <c r="F34" s="422" t="s">
        <v>298</v>
      </c>
      <c r="G34" s="422" t="s">
        <v>298</v>
      </c>
      <c r="H34" s="422" t="s">
        <v>298</v>
      </c>
      <c r="I34" s="422"/>
      <c r="J34" s="422"/>
      <c r="K34" s="76"/>
    </row>
    <row r="35" spans="1:21" ht="11.25" customHeight="1">
      <c r="A35" s="24"/>
      <c r="C35" s="24"/>
      <c r="D35" s="49"/>
      <c r="E35" s="116" t="s">
        <v>1647</v>
      </c>
      <c r="F35" s="360"/>
      <c r="G35" s="424"/>
      <c r="H35" s="360"/>
      <c r="I35" s="424"/>
      <c r="J35" s="360"/>
      <c r="K35" s="361"/>
      <c r="U35" s="24"/>
    </row>
    <row r="36" spans="1:21" ht="67.5" customHeight="1">
      <c r="A36" s="24"/>
      <c r="B36" s="24" t="s">
        <v>1648</v>
      </c>
      <c r="C36" s="86"/>
      <c r="D36" s="423">
        <v>3</v>
      </c>
      <c r="E36" s="196" t="s">
        <v>1649</v>
      </c>
      <c r="F36" s="425" t="s">
        <v>298</v>
      </c>
      <c r="G36" s="322" t="s">
        <v>1650</v>
      </c>
      <c r="H36" s="422" t="s">
        <v>298</v>
      </c>
      <c r="I36" s="322" t="s">
        <v>1651</v>
      </c>
      <c r="J36" s="422" t="s">
        <v>298</v>
      </c>
      <c r="K36" s="76" t="s">
        <v>1652</v>
      </c>
    </row>
    <row r="37" spans="1:21" ht="11.25" customHeight="1">
      <c r="A37" s="24"/>
      <c r="C37" s="24"/>
      <c r="D37" s="49"/>
      <c r="E37" s="116" t="s">
        <v>1653</v>
      </c>
      <c r="F37" s="360"/>
      <c r="G37" s="424"/>
      <c r="H37" s="424"/>
      <c r="I37" s="424"/>
      <c r="J37" s="424"/>
      <c r="K37" s="361"/>
      <c r="U37" s="24"/>
    </row>
    <row r="38" spans="1:21" ht="67.5" customHeight="1">
      <c r="A38" s="24"/>
      <c r="B38" s="24" t="s">
        <v>1654</v>
      </c>
      <c r="C38" s="86"/>
      <c r="D38" s="423">
        <v>4</v>
      </c>
      <c r="E38" s="196" t="s">
        <v>1655</v>
      </c>
      <c r="F38" s="425" t="s">
        <v>298</v>
      </c>
      <c r="G38" s="322" t="s">
        <v>1650</v>
      </c>
      <c r="H38" s="50" t="s">
        <v>298</v>
      </c>
      <c r="I38" s="322" t="s">
        <v>1650</v>
      </c>
      <c r="J38" s="50" t="s">
        <v>298</v>
      </c>
      <c r="K38" s="412" t="s">
        <v>1656</v>
      </c>
    </row>
    <row r="39" spans="1:21" ht="33.75" customHeight="1">
      <c r="A39" s="24"/>
      <c r="B39" s="1416" t="s">
        <v>613</v>
      </c>
      <c r="C39" s="1417" t="s">
        <v>1109</v>
      </c>
      <c r="D39" s="420" t="str">
        <f>B39&amp;".1"</f>
        <v>4.1.1</v>
      </c>
      <c r="E39" s="421" t="s">
        <v>1639</v>
      </c>
      <c r="F39" s="422" t="s">
        <v>298</v>
      </c>
      <c r="G39" s="427" t="s">
        <v>17</v>
      </c>
      <c r="H39" s="250" t="s">
        <v>17</v>
      </c>
      <c r="I39" s="427" t="s">
        <v>1657</v>
      </c>
      <c r="J39" s="250" t="s">
        <v>1658</v>
      </c>
      <c r="K39" s="76" t="s">
        <v>1640</v>
      </c>
    </row>
    <row r="40" spans="1:21" ht="15" customHeight="1">
      <c r="B40" s="1416"/>
      <c r="C40" s="1417"/>
      <c r="D40" s="420" t="str">
        <f>B39&amp;".2"</f>
        <v>4.1.2</v>
      </c>
      <c r="E40" s="421" t="s">
        <v>1641</v>
      </c>
      <c r="F40" s="422" t="s">
        <v>298</v>
      </c>
      <c r="G40" s="988" t="s">
        <v>17</v>
      </c>
      <c r="H40" s="250" t="s">
        <v>17</v>
      </c>
      <c r="I40" s="988">
        <v>45288</v>
      </c>
      <c r="J40" s="250" t="s">
        <v>17</v>
      </c>
      <c r="K40" s="76" t="s">
        <v>1642</v>
      </c>
    </row>
    <row r="41" spans="1:21" ht="11.25" customHeight="1">
      <c r="A41" s="24"/>
      <c r="C41" s="24"/>
      <c r="D41" s="49"/>
      <c r="E41" s="116" t="s">
        <v>1659</v>
      </c>
      <c r="F41" s="360"/>
      <c r="G41" s="360"/>
      <c r="H41" s="426"/>
      <c r="I41" s="360"/>
      <c r="J41" s="426"/>
      <c r="K41" s="361"/>
      <c r="U41" s="24"/>
    </row>
  </sheetData>
  <sheetProtection formatColumns="0" formatRows="0" insertRows="0" deleteColumns="0" deleteRows="0" sort="0" autoFilter="0"/>
  <mergeCells count="23">
    <mergeCell ref="B39:B40"/>
    <mergeCell ref="C39:C40"/>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000-000000000000}"/>
    <dataValidation type="textLength" operator="lessThanOrEqual" allowBlank="1" showInputMessage="1" showErrorMessage="1" errorTitle="Ошибка" error="Допускается ввод не более 900 символов!" sqref="I3 I6 I9 I13 G6 G13 G9 G3 G39 I39" xr:uid="{00000000-0002-0000-20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G40 I40" xr:uid="{00000000-0002-0000-2000-000002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H39 J39 H40 J40" xr:uid="{00000000-0002-0000-2000-000003000000}">
      <formula1>900</formula1>
    </dataValidation>
    <dataValidation allowBlank="1" showInputMessage="1" showErrorMessage="1" prompt="Для выбора выполните двойной щелчок левой клавиши мыши по ячейке." sqref="I36 G38 I38 G36" xr:uid="{00000000-0002-0000-2000-000004000000}"/>
  </dataValidations>
  <hyperlinks>
    <hyperlink ref="J39" r:id="rId1" xr:uid="{F8E7CEFB-A4FF-90B2-0472-301FBB7F1D5B}"/>
  </hyperlink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FD2A7F-AECF-ABEF-E328-98236DEB07AE}">
  <sheetPr>
    <tabColor theme="6" tint="0.39997558519241921"/>
  </sheetPr>
  <dimension ref="A1:AF39"/>
  <sheetViews>
    <sheetView showGridLines="0" topLeftCell="C4" zoomScale="86" workbookViewId="0"/>
  </sheetViews>
  <sheetFormatPr defaultColWidth="10.5703125" defaultRowHeight="14.25" customHeight="1"/>
  <cols>
    <col min="1" max="1" width="9.140625" style="42" hidden="1" customWidth="1"/>
    <col min="2" max="2" width="9.140625" style="72" hidden="1" customWidth="1"/>
    <col min="3" max="3" width="3.7109375" style="37" customWidth="1"/>
    <col min="4" max="4" width="6.28515625" style="24" customWidth="1"/>
    <col min="5" max="5" width="46.7109375" style="24" customWidth="1"/>
    <col min="6" max="6" width="35.7109375" style="24" customWidth="1"/>
    <col min="7" max="7" width="3.7109375" style="24" customWidth="1"/>
    <col min="8" max="9" width="11.7109375" style="24" customWidth="1"/>
    <col min="10" max="11" width="35.7109375" style="24" customWidth="1"/>
    <col min="12" max="12" width="84.85546875" style="24" hidden="1" customWidth="1"/>
    <col min="13" max="13" width="10.5703125" style="24"/>
    <col min="14" max="15" width="10.5703125" style="79"/>
    <col min="16" max="32" width="10.5703125" style="24"/>
  </cols>
  <sheetData>
    <row r="1" spans="1:32" ht="14.25" hidden="1" customHeight="1">
      <c r="S1" s="89"/>
      <c r="AF1" s="155"/>
    </row>
    <row r="2" spans="1:32" ht="14.25" hidden="1" customHeight="1"/>
    <row r="3" spans="1:32" ht="14.25" hidden="1" customHeight="1"/>
    <row r="4" spans="1:32" ht="6" customHeight="1">
      <c r="C4" s="36"/>
      <c r="D4" s="25"/>
      <c r="E4" s="25"/>
      <c r="F4" s="25"/>
      <c r="G4" s="25"/>
      <c r="H4" s="25"/>
      <c r="I4" s="25"/>
      <c r="J4" s="25"/>
      <c r="K4" s="26"/>
      <c r="L4" s="26"/>
    </row>
    <row r="5" spans="1:32" ht="26.25" customHeight="1">
      <c r="C5" s="36"/>
      <c r="D5" s="1403" t="s">
        <v>1660</v>
      </c>
      <c r="E5" s="1403"/>
      <c r="F5" s="1403"/>
      <c r="G5" s="1403"/>
      <c r="H5" s="1403"/>
      <c r="I5" s="1403"/>
      <c r="J5" s="1403"/>
      <c r="K5" s="1403"/>
      <c r="L5" s="69"/>
    </row>
    <row r="6" spans="1:32" ht="6" customHeight="1">
      <c r="C6" s="36"/>
      <c r="D6" s="25"/>
      <c r="E6" s="35"/>
      <c r="F6" s="35"/>
      <c r="G6" s="35"/>
      <c r="H6" s="35"/>
      <c r="I6" s="35"/>
      <c r="J6" s="35"/>
      <c r="K6" s="202"/>
      <c r="L6" s="109"/>
    </row>
    <row r="7" spans="1:32" ht="18.75" customHeight="1">
      <c r="C7" s="36"/>
      <c r="D7" s="25"/>
      <c r="E7" s="185" t="e">
        <f>"Дата подачи заявления об "&amp;IF(datePr_ch="","утверждении","изменении")&amp;" тарифов"</f>
        <v>#NAME?</v>
      </c>
      <c r="F7" s="1330" t="e">
        <f>IF(datePr_ch="",IF(datePr="","",datePr),datePr_ch)</f>
        <v>#NAME?</v>
      </c>
      <c r="G7" s="1330"/>
      <c r="H7" s="1330"/>
      <c r="I7" s="1330"/>
      <c r="J7" s="1330"/>
      <c r="K7" s="1330"/>
      <c r="L7" s="208"/>
    </row>
    <row r="8" spans="1:32" ht="18.75" customHeight="1">
      <c r="C8" s="36"/>
      <c r="D8" s="25"/>
      <c r="E8" s="185" t="e">
        <f>"Номер подачи заявления об "&amp;IF(numberPr_ch="","утверждении","изменении")&amp;" тарифов"</f>
        <v>#NAME?</v>
      </c>
      <c r="F8" s="1330" t="e">
        <f>IF(numberPr_ch="",IF(numberPr="","",numberPr),numberPr_ch)</f>
        <v>#NAME?</v>
      </c>
      <c r="G8" s="1330"/>
      <c r="H8" s="1330"/>
      <c r="I8" s="1330"/>
      <c r="J8" s="1330"/>
      <c r="K8" s="1330"/>
      <c r="L8" s="208"/>
    </row>
    <row r="9" spans="1:32" ht="14.25" customHeight="1">
      <c r="C9" s="36"/>
      <c r="D9" s="25"/>
      <c r="E9" s="35"/>
      <c r="F9" s="35"/>
      <c r="G9" s="35"/>
      <c r="H9" s="35"/>
      <c r="I9" s="35"/>
      <c r="J9" s="35"/>
      <c r="K9" s="463" t="s">
        <v>1661</v>
      </c>
      <c r="L9" s="109"/>
    </row>
    <row r="10" spans="1:32" ht="21" customHeight="1">
      <c r="C10" s="36"/>
      <c r="D10" s="1213" t="s">
        <v>292</v>
      </c>
      <c r="E10" s="1213"/>
      <c r="F10" s="1213"/>
      <c r="G10" s="1213"/>
      <c r="H10" s="1213"/>
      <c r="I10" s="1213"/>
      <c r="J10" s="1213"/>
      <c r="K10" s="1213"/>
      <c r="L10" s="1325" t="s">
        <v>293</v>
      </c>
    </row>
    <row r="11" spans="1:32" ht="21" customHeight="1">
      <c r="C11" s="36"/>
      <c r="D11" s="1353" t="s">
        <v>88</v>
      </c>
      <c r="E11" s="1220" t="s">
        <v>123</v>
      </c>
      <c r="F11" s="1220" t="s">
        <v>124</v>
      </c>
      <c r="G11" s="1418" t="s">
        <v>1662</v>
      </c>
      <c r="H11" s="1419"/>
      <c r="I11" s="1420"/>
      <c r="J11" s="1220" t="s">
        <v>295</v>
      </c>
      <c r="K11" s="1220" t="s">
        <v>384</v>
      </c>
      <c r="L11" s="1325"/>
    </row>
    <row r="12" spans="1:32" ht="21" customHeight="1">
      <c r="C12" s="36"/>
      <c r="D12" s="1355"/>
      <c r="E12" s="1221"/>
      <c r="F12" s="1221"/>
      <c r="G12" s="1219" t="s">
        <v>701</v>
      </c>
      <c r="H12" s="1233"/>
      <c r="I12" s="48" t="s">
        <v>1663</v>
      </c>
      <c r="J12" s="1221"/>
      <c r="K12" s="1221"/>
      <c r="L12" s="1325"/>
    </row>
    <row r="13" spans="1:32" ht="12" customHeight="1">
      <c r="C13" s="36"/>
      <c r="D13" s="28" t="s">
        <v>109</v>
      </c>
      <c r="E13" s="28" t="s">
        <v>110</v>
      </c>
      <c r="F13" s="28" t="s">
        <v>90</v>
      </c>
      <c r="G13" s="1421" t="s">
        <v>91</v>
      </c>
      <c r="H13" s="1421"/>
      <c r="I13" s="28" t="s">
        <v>111</v>
      </c>
      <c r="J13" s="28" t="s">
        <v>92</v>
      </c>
      <c r="K13" s="28" t="s">
        <v>93</v>
      </c>
      <c r="L13" s="28" t="s">
        <v>112</v>
      </c>
    </row>
    <row r="14" spans="1:32" ht="14.25" customHeight="1">
      <c r="A14" s="43"/>
      <c r="C14" s="36"/>
      <c r="D14" s="245">
        <v>1</v>
      </c>
      <c r="E14" s="1407" t="s">
        <v>1664</v>
      </c>
      <c r="F14" s="1407"/>
      <c r="G14" s="1407"/>
      <c r="H14" s="1407"/>
      <c r="I14" s="1407"/>
      <c r="J14" s="1407"/>
      <c r="K14" s="1407"/>
      <c r="L14" s="76"/>
      <c r="M14" s="208"/>
    </row>
    <row r="15" spans="1:32" ht="56.25" customHeight="1">
      <c r="A15" s="43"/>
      <c r="C15" s="36"/>
      <c r="D15" s="245" t="s">
        <v>620</v>
      </c>
      <c r="E15" s="48" t="s">
        <v>298</v>
      </c>
      <c r="F15" s="48" t="s">
        <v>298</v>
      </c>
      <c r="G15" s="1219" t="s">
        <v>298</v>
      </c>
      <c r="H15" s="1233"/>
      <c r="I15" s="48" t="s">
        <v>298</v>
      </c>
      <c r="J15" s="1078"/>
      <c r="K15" s="122"/>
      <c r="L15" s="76" t="s">
        <v>1665</v>
      </c>
      <c r="M15" s="208"/>
    </row>
    <row r="16" spans="1:32" ht="18.75" customHeight="1">
      <c r="A16" s="43"/>
      <c r="B16" s="72">
        <v>3</v>
      </c>
      <c r="C16" s="36"/>
      <c r="D16" s="246">
        <v>2</v>
      </c>
      <c r="E16" s="1422" t="s">
        <v>1666</v>
      </c>
      <c r="F16" s="1422"/>
      <c r="G16" s="1422"/>
      <c r="H16" s="1423"/>
      <c r="I16" s="1423"/>
      <c r="J16" s="1423" t="s">
        <v>298</v>
      </c>
      <c r="K16" s="1423"/>
      <c r="L16" s="239"/>
      <c r="M16" s="208"/>
    </row>
    <row r="17" spans="1:15" ht="77.25" customHeight="1">
      <c r="A17" s="43"/>
      <c r="C17" s="1424"/>
      <c r="D17" s="1425" t="s">
        <v>505</v>
      </c>
      <c r="E17" s="1426"/>
      <c r="F17" s="1271"/>
      <c r="G17" s="48"/>
      <c r="H17" s="995"/>
      <c r="I17" s="993"/>
      <c r="J17" s="1078"/>
      <c r="K17" s="48" t="s">
        <v>298</v>
      </c>
      <c r="L17" s="1169" t="s">
        <v>1667</v>
      </c>
      <c r="M17" s="208"/>
    </row>
    <row r="18" spans="1:15" ht="18.75" customHeight="1">
      <c r="A18" s="43"/>
      <c r="C18" s="1424"/>
      <c r="D18" s="1425"/>
      <c r="E18" s="1426"/>
      <c r="F18" s="1271"/>
      <c r="G18" s="247"/>
      <c r="H18" s="62" t="s">
        <v>1556</v>
      </c>
      <c r="I18" s="117"/>
      <c r="J18" s="117"/>
      <c r="K18" s="114"/>
      <c r="L18" s="1170"/>
      <c r="M18" s="208"/>
    </row>
    <row r="19" spans="1:15" ht="15" customHeight="1">
      <c r="A19" s="43"/>
      <c r="C19" s="36"/>
      <c r="D19" s="247"/>
      <c r="E19" s="248" t="s">
        <v>1668</v>
      </c>
      <c r="F19" s="249"/>
      <c r="G19" s="249"/>
      <c r="H19" s="117"/>
      <c r="I19" s="117"/>
      <c r="J19" s="117"/>
      <c r="K19" s="114"/>
      <c r="L19" s="1171"/>
      <c r="M19" s="208"/>
    </row>
    <row r="20" spans="1:15" ht="18.75" customHeight="1">
      <c r="A20" s="43"/>
      <c r="B20" s="72">
        <v>3</v>
      </c>
      <c r="C20" s="36"/>
      <c r="D20" s="73" t="s">
        <v>90</v>
      </c>
      <c r="E20" s="1407" t="s">
        <v>1669</v>
      </c>
      <c r="F20" s="1407"/>
      <c r="G20" s="1407"/>
      <c r="H20" s="1407"/>
      <c r="I20" s="1407"/>
      <c r="J20" s="1407"/>
      <c r="K20" s="1407"/>
      <c r="L20" s="119"/>
      <c r="M20" s="208"/>
    </row>
    <row r="21" spans="1:15" ht="33.75" customHeight="1">
      <c r="A21" s="43"/>
      <c r="C21" s="36"/>
      <c r="D21" s="245" t="s">
        <v>318</v>
      </c>
      <c r="E21" s="48" t="s">
        <v>298</v>
      </c>
      <c r="F21" s="48" t="s">
        <v>298</v>
      </c>
      <c r="G21" s="1219" t="s">
        <v>298</v>
      </c>
      <c r="H21" s="1233"/>
      <c r="I21" s="48" t="s">
        <v>298</v>
      </c>
      <c r="J21" s="48" t="s">
        <v>298</v>
      </c>
      <c r="K21" s="250"/>
      <c r="L21" s="76" t="s">
        <v>1670</v>
      </c>
      <c r="M21" s="208"/>
    </row>
    <row r="22" spans="1:15" ht="18.75" customHeight="1">
      <c r="A22" s="43"/>
      <c r="B22" s="72">
        <v>3</v>
      </c>
      <c r="C22" s="36"/>
      <c r="D22" s="73" t="s">
        <v>91</v>
      </c>
      <c r="E22" s="1407" t="s">
        <v>1671</v>
      </c>
      <c r="F22" s="1407"/>
      <c r="G22" s="1407"/>
      <c r="H22" s="1407"/>
      <c r="I22" s="1407"/>
      <c r="J22" s="1407"/>
      <c r="K22" s="1407"/>
      <c r="L22" s="119"/>
      <c r="M22" s="208"/>
    </row>
    <row r="23" spans="1:15" ht="54.75" customHeight="1">
      <c r="A23" s="43"/>
      <c r="C23" s="1424"/>
      <c r="D23" s="1425" t="s">
        <v>613</v>
      </c>
      <c r="E23" s="1426"/>
      <c r="F23" s="1271"/>
      <c r="G23" s="48"/>
      <c r="H23" s="993"/>
      <c r="I23" s="993"/>
      <c r="J23" s="1081"/>
      <c r="K23" s="48" t="s">
        <v>298</v>
      </c>
      <c r="L23" s="1169" t="s">
        <v>1672</v>
      </c>
      <c r="M23" s="208"/>
    </row>
    <row r="24" spans="1:15" ht="18.75" customHeight="1">
      <c r="A24" s="43"/>
      <c r="C24" s="1424"/>
      <c r="D24" s="1425"/>
      <c r="E24" s="1426"/>
      <c r="F24" s="1271"/>
      <c r="G24" s="247"/>
      <c r="H24" s="62" t="s">
        <v>1556</v>
      </c>
      <c r="I24" s="113"/>
      <c r="J24" s="113"/>
      <c r="K24" s="114"/>
      <c r="L24" s="1170"/>
      <c r="M24" s="208"/>
    </row>
    <row r="25" spans="1:15" ht="15" customHeight="1">
      <c r="A25" s="43"/>
      <c r="C25" s="36"/>
      <c r="D25" s="49"/>
      <c r="E25" s="248" t="s">
        <v>1668</v>
      </c>
      <c r="F25" s="113"/>
      <c r="G25" s="113"/>
      <c r="H25" s="113"/>
      <c r="I25" s="113"/>
      <c r="J25" s="113"/>
      <c r="K25" s="114"/>
      <c r="L25" s="1171"/>
      <c r="M25" s="208"/>
    </row>
    <row r="26" spans="1:15" ht="18.75" customHeight="1">
      <c r="A26" s="43"/>
      <c r="C26" s="36"/>
      <c r="D26" s="73" t="s">
        <v>111</v>
      </c>
      <c r="E26" s="1407" t="s">
        <v>1673</v>
      </c>
      <c r="F26" s="1407"/>
      <c r="G26" s="1407"/>
      <c r="H26" s="1407"/>
      <c r="I26" s="1407"/>
      <c r="J26" s="1407"/>
      <c r="K26" s="1407"/>
      <c r="L26" s="119"/>
      <c r="M26" s="208"/>
    </row>
    <row r="27" spans="1:15" ht="66" customHeight="1">
      <c r="A27" s="43"/>
      <c r="C27" s="1424"/>
      <c r="D27" s="1427" t="s">
        <v>307</v>
      </c>
      <c r="E27" s="1426"/>
      <c r="F27" s="1271"/>
      <c r="G27" s="48"/>
      <c r="H27" s="995"/>
      <c r="I27" s="993"/>
      <c r="J27" s="1081"/>
      <c r="K27" s="48" t="s">
        <v>298</v>
      </c>
      <c r="L27" s="1169" t="s">
        <v>1674</v>
      </c>
      <c r="M27" s="208"/>
    </row>
    <row r="28" spans="1:15" ht="18.75" customHeight="1">
      <c r="A28" s="43"/>
      <c r="C28" s="1424"/>
      <c r="D28" s="1428"/>
      <c r="E28" s="1426"/>
      <c r="F28" s="1271"/>
      <c r="G28" s="247"/>
      <c r="H28" s="62" t="s">
        <v>1556</v>
      </c>
      <c r="I28" s="113"/>
      <c r="J28" s="113"/>
      <c r="K28" s="114"/>
      <c r="L28" s="1170"/>
      <c r="M28" s="208"/>
    </row>
    <row r="29" spans="1:15" ht="15" customHeight="1">
      <c r="A29" s="43"/>
      <c r="C29" s="36"/>
      <c r="D29" s="49"/>
      <c r="E29" s="248" t="s">
        <v>1668</v>
      </c>
      <c r="F29" s="113"/>
      <c r="G29" s="113"/>
      <c r="H29" s="113"/>
      <c r="I29" s="113"/>
      <c r="J29" s="113"/>
      <c r="K29" s="114"/>
      <c r="L29" s="1171"/>
      <c r="M29" s="208"/>
    </row>
    <row r="30" spans="1:15" ht="26.25" customHeight="1">
      <c r="A30" s="43"/>
      <c r="C30" s="36"/>
      <c r="D30" s="73" t="s">
        <v>92</v>
      </c>
      <c r="E30" s="1407" t="s">
        <v>1675</v>
      </c>
      <c r="F30" s="1407"/>
      <c r="G30" s="1407"/>
      <c r="H30" s="1407"/>
      <c r="I30" s="1407"/>
      <c r="J30" s="1407"/>
      <c r="K30" s="1407"/>
      <c r="L30" s="119"/>
      <c r="M30" s="208"/>
    </row>
    <row r="31" spans="1:15" ht="99" customHeight="1">
      <c r="A31" s="43"/>
      <c r="C31" s="1424"/>
      <c r="D31" s="1427" t="s">
        <v>518</v>
      </c>
      <c r="E31" s="1426"/>
      <c r="F31" s="1271"/>
      <c r="G31" s="48"/>
      <c r="H31" s="995"/>
      <c r="I31" s="993"/>
      <c r="J31" s="1081"/>
      <c r="K31" s="48" t="s">
        <v>298</v>
      </c>
      <c r="L31" s="1169" t="s">
        <v>1676</v>
      </c>
      <c r="M31" s="208"/>
      <c r="O31" s="79" t="s">
        <v>1584</v>
      </c>
    </row>
    <row r="32" spans="1:15" ht="18.75" customHeight="1">
      <c r="A32" s="43"/>
      <c r="C32" s="1424"/>
      <c r="D32" s="1428"/>
      <c r="E32" s="1426"/>
      <c r="F32" s="1271"/>
      <c r="G32" s="247"/>
      <c r="H32" s="62" t="s">
        <v>1556</v>
      </c>
      <c r="I32" s="113"/>
      <c r="J32" s="113"/>
      <c r="K32" s="114"/>
      <c r="L32" s="1170"/>
      <c r="M32" s="208"/>
    </row>
    <row r="33" spans="1:15" ht="15" customHeight="1">
      <c r="A33" s="43"/>
      <c r="C33" s="36"/>
      <c r="D33" s="49"/>
      <c r="E33" s="248" t="s">
        <v>1668</v>
      </c>
      <c r="F33" s="113"/>
      <c r="G33" s="113"/>
      <c r="H33" s="113"/>
      <c r="I33" s="113"/>
      <c r="J33" s="113"/>
      <c r="K33" s="114"/>
      <c r="L33" s="1171"/>
      <c r="M33" s="208"/>
    </row>
    <row r="34" spans="1:15" ht="25.5" customHeight="1">
      <c r="A34" s="43"/>
      <c r="B34" s="72">
        <v>3</v>
      </c>
      <c r="C34" s="36"/>
      <c r="D34" s="73" t="s">
        <v>93</v>
      </c>
      <c r="E34" s="1407" t="s">
        <v>1677</v>
      </c>
      <c r="F34" s="1407"/>
      <c r="G34" s="1407"/>
      <c r="H34" s="1407"/>
      <c r="I34" s="1407"/>
      <c r="J34" s="1407"/>
      <c r="K34" s="1407"/>
      <c r="L34" s="119"/>
      <c r="M34" s="208"/>
    </row>
    <row r="35" spans="1:15" ht="99" customHeight="1">
      <c r="A35" s="43"/>
      <c r="C35" s="1424"/>
      <c r="D35" s="1427" t="s">
        <v>1678</v>
      </c>
      <c r="E35" s="1426"/>
      <c r="F35" s="1271"/>
      <c r="G35" s="48"/>
      <c r="H35" s="995"/>
      <c r="I35" s="993"/>
      <c r="J35" s="1081"/>
      <c r="K35" s="48" t="s">
        <v>298</v>
      </c>
      <c r="L35" s="1169" t="s">
        <v>1679</v>
      </c>
      <c r="M35" s="208"/>
    </row>
    <row r="36" spans="1:15" ht="18.75" customHeight="1">
      <c r="A36" s="43"/>
      <c r="C36" s="1424"/>
      <c r="D36" s="1428"/>
      <c r="E36" s="1426"/>
      <c r="F36" s="1271"/>
      <c r="G36" s="247"/>
      <c r="H36" s="62" t="s">
        <v>1556</v>
      </c>
      <c r="I36" s="113"/>
      <c r="J36" s="113"/>
      <c r="K36" s="114"/>
      <c r="L36" s="1170"/>
      <c r="M36" s="208"/>
    </row>
    <row r="37" spans="1:15" ht="15" customHeight="1">
      <c r="A37" s="43"/>
      <c r="C37" s="36"/>
      <c r="D37" s="49"/>
      <c r="E37" s="248" t="s">
        <v>1668</v>
      </c>
      <c r="F37" s="113"/>
      <c r="G37" s="113"/>
      <c r="H37" s="113"/>
      <c r="I37" s="113"/>
      <c r="J37" s="113"/>
      <c r="K37" s="114"/>
      <c r="L37" s="1171"/>
      <c r="M37" s="208"/>
    </row>
    <row r="38" spans="1:15" s="43" customFormat="1" ht="3" customHeight="1">
      <c r="D38" s="251"/>
      <c r="E38" s="251"/>
      <c r="F38" s="251"/>
      <c r="G38" s="251"/>
      <c r="H38" s="251"/>
      <c r="I38" s="251"/>
      <c r="J38" s="251"/>
      <c r="K38" s="251"/>
      <c r="L38" s="251"/>
      <c r="N38" s="111"/>
      <c r="O38" s="111"/>
    </row>
    <row r="39" spans="1:15" ht="24.75" customHeight="1">
      <c r="D39" s="115">
        <v>1</v>
      </c>
      <c r="E39" s="1336" t="s">
        <v>1680</v>
      </c>
      <c r="F39" s="1336"/>
      <c r="G39" s="1336"/>
      <c r="H39" s="1336"/>
      <c r="I39" s="1336"/>
      <c r="J39" s="1336"/>
      <c r="K39" s="1336"/>
      <c r="L39" s="1336"/>
    </row>
  </sheetData>
  <sheetProtection formatColumns="0" formatRows="0" insertRows="0" deleteColumns="0" deleteRows="0" sort="0" autoFilter="0"/>
  <mergeCells count="48">
    <mergeCell ref="E39:L39"/>
    <mergeCell ref="E34:K34"/>
    <mergeCell ref="C35:C36"/>
    <mergeCell ref="D35:D36"/>
    <mergeCell ref="E35:E36"/>
    <mergeCell ref="F35:F36"/>
    <mergeCell ref="L35:L37"/>
    <mergeCell ref="L31:L33"/>
    <mergeCell ref="L23:L25"/>
    <mergeCell ref="E26:K26"/>
    <mergeCell ref="C27:C28"/>
    <mergeCell ref="D27:D28"/>
    <mergeCell ref="E27:E28"/>
    <mergeCell ref="F27:F28"/>
    <mergeCell ref="L27:L29"/>
    <mergeCell ref="E30:K30"/>
    <mergeCell ref="C31:C32"/>
    <mergeCell ref="D31:D32"/>
    <mergeCell ref="E31:E32"/>
    <mergeCell ref="F31:F32"/>
    <mergeCell ref="G21:H21"/>
    <mergeCell ref="E22:K22"/>
    <mergeCell ref="C23:C24"/>
    <mergeCell ref="D23:D24"/>
    <mergeCell ref="E23:E24"/>
    <mergeCell ref="F23:F24"/>
    <mergeCell ref="C17:C18"/>
    <mergeCell ref="D17:D18"/>
    <mergeCell ref="E17:E18"/>
    <mergeCell ref="F17:F18"/>
    <mergeCell ref="L17:L19"/>
    <mergeCell ref="E20:K20"/>
    <mergeCell ref="K11:K12"/>
    <mergeCell ref="G12:H12"/>
    <mergeCell ref="G13:H13"/>
    <mergeCell ref="E14:K14"/>
    <mergeCell ref="G15:H15"/>
    <mergeCell ref="E16:K16"/>
    <mergeCell ref="D5:K5"/>
    <mergeCell ref="F7:K7"/>
    <mergeCell ref="F8:K8"/>
    <mergeCell ref="D10:K10"/>
    <mergeCell ref="L10:L12"/>
    <mergeCell ref="D11:D12"/>
    <mergeCell ref="E11:E12"/>
    <mergeCell ref="F11:F12"/>
    <mergeCell ref="G11:I11"/>
    <mergeCell ref="J11:J12"/>
  </mergeCells>
  <dataValidations count="6">
    <dataValidation type="textLength" operator="lessThanOrEqual" allowBlank="1" showInputMessage="1" showErrorMessage="1" errorTitle="Ошибка" error="Допускается ввод не более 900 символов!" prompt="В случае отсутствия утвержденной в установленном порядке инвестиционной программы (проекта инвестиционной программы) укажите &quot;отсутствует&quot; в данной ячейке" sqref="J15" xr:uid="{00000000-0002-0000-2100-000000000000}">
      <formula1>900</formula1>
    </dataValidation>
    <dataValidation type="textLength" operator="lessThanOrEqual" allowBlank="1" showInputMessage="1" showErrorMessage="1" errorTitle="Ошибка" error="Допускается ввод не более 900 символов!" sqref="L27 L31 L16:L17 L23 L35" xr:uid="{00000000-0002-0000-2100-000001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5 K21" xr:uid="{00000000-0002-0000-21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H31:I31 H17:I17 H23:I23 H27:I27 H35:I35" xr:uid="{00000000-0002-0000-2100-000003000000}"/>
    <dataValidation type="list" allowBlank="1" showInputMessage="1" showErrorMessage="1" errorTitle="Ошибка" error="Выберите значение из списка" prompt="Выберите значение из списка" sqref="J17" xr:uid="{00000000-0002-0000-2100-000004000000}">
      <formula1>kind_of_control_method</formula1>
    </dataValidation>
    <dataValidation type="decimal" allowBlank="1" showErrorMessage="1" errorTitle="Ошибка" error="Допускается ввод только действительных чисел!" sqref="J27 J31 J23 J35" xr:uid="{00000000-0002-0000-2100-000005000000}">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BB7D32-D44C-AEAB-7A1C-D34A4D6850DB}">
  <sheetPr>
    <tabColor theme="6" tint="0.39997558519241921"/>
  </sheetPr>
  <dimension ref="A1:AP57"/>
  <sheetViews>
    <sheetView showGridLines="0" topLeftCell="P23" zoomScale="90" workbookViewId="0"/>
  </sheetViews>
  <sheetFormatPr defaultColWidth="10.5703125" defaultRowHeight="14.25" customHeight="1"/>
  <cols>
    <col min="1" max="1" width="10.5703125" style="72" hidden="1"/>
    <col min="2" max="2" width="11" style="72" hidden="1" customWidth="1"/>
    <col min="3" max="3" width="10.5703125" style="72" hidden="1"/>
    <col min="4" max="4" width="11.85546875" style="72" hidden="1" customWidth="1"/>
    <col min="5" max="5" width="10" style="72" hidden="1" customWidth="1"/>
    <col min="6" max="6" width="8.7109375" style="72" hidden="1" customWidth="1"/>
    <col min="7" max="7" width="7.5703125" style="72" hidden="1" customWidth="1"/>
    <col min="8" max="8" width="11.42578125" style="72" hidden="1" customWidth="1"/>
    <col min="9" max="9" width="14.140625" style="72" hidden="1" customWidth="1"/>
    <col min="10" max="10" width="9.85546875" style="72" hidden="1" customWidth="1"/>
    <col min="11" max="11" width="14.7109375" style="72" hidden="1" customWidth="1"/>
    <col min="12" max="12" width="19.140625" style="388" hidden="1" customWidth="1"/>
    <col min="13" max="14" width="12.28515625" style="541" hidden="1" customWidth="1"/>
    <col min="15" max="15" width="23.42578125" style="541" hidden="1" customWidth="1"/>
    <col min="16" max="16" width="3.7109375" style="42" customWidth="1"/>
    <col min="17" max="18" width="3.7109375" style="37" customWidth="1"/>
    <col min="19" max="19" width="12.7109375" style="368" customWidth="1"/>
    <col min="20" max="20" width="35.7109375" style="24" customWidth="1"/>
    <col min="21" max="21" width="0.140625" style="24" customWidth="1"/>
    <col min="22" max="24" width="24.7109375" style="24" hidden="1" customWidth="1"/>
    <col min="25" max="25" width="11.7109375" style="24" hidden="1" customWidth="1"/>
    <col min="26" max="26" width="3.7109375" style="24" hidden="1" customWidth="1"/>
    <col min="27" max="27" width="11.7109375" style="24" hidden="1" customWidth="1"/>
    <col min="28" max="28" width="8.5703125" style="24" hidden="1" customWidth="1"/>
    <col min="29" max="31" width="24.7109375" style="24" customWidth="1"/>
    <col min="32" max="32" width="11.7109375" style="24" customWidth="1"/>
    <col min="33" max="33" width="3.7109375" style="24" customWidth="1"/>
    <col min="34" max="34" width="11.7109375" style="24" customWidth="1"/>
    <col min="35" max="35" width="8.5703125" style="24" hidden="1" customWidth="1"/>
    <col min="36" max="36" width="4.7109375" style="24" customWidth="1"/>
    <col min="37" max="37" width="115.7109375" style="24" customWidth="1"/>
    <col min="38" max="39" width="10.5703125" style="77"/>
    <col min="40" max="40" width="11.140625" style="77" customWidth="1"/>
    <col min="41" max="42" width="10.5703125" style="77"/>
  </cols>
  <sheetData>
    <row r="1" spans="1:42" ht="14.25" hidden="1" customHeight="1"/>
    <row r="2" spans="1:42" ht="23.25" hidden="1" customHeight="1">
      <c r="A2" s="822"/>
      <c r="B2" s="822"/>
      <c r="C2" s="822"/>
      <c r="D2" s="822"/>
      <c r="E2" s="1337">
        <v>1</v>
      </c>
      <c r="F2" s="822"/>
      <c r="G2" s="822"/>
      <c r="H2" s="822"/>
      <c r="I2" s="822"/>
      <c r="J2" s="822"/>
      <c r="K2" s="822"/>
      <c r="L2" s="823"/>
      <c r="M2" s="452"/>
      <c r="N2" s="452"/>
      <c r="O2" s="452"/>
      <c r="Q2" s="43"/>
      <c r="R2" s="220"/>
      <c r="S2" s="755" t="e">
        <f>INDEX(PT_DIFFERENTIATION_NUM_NTAR,MATCH(A2,PT_DIFFERENTIATION_NTAR_ID,0))</f>
        <v>#N/A</v>
      </c>
      <c r="T2" s="76" t="s">
        <v>124</v>
      </c>
      <c r="U2" s="179"/>
      <c r="V2" s="1331"/>
      <c r="W2" s="1332"/>
      <c r="X2" s="1332"/>
      <c r="Y2" s="1332"/>
      <c r="Z2" s="1332"/>
      <c r="AA2" s="1332"/>
      <c r="AB2" s="1333"/>
      <c r="AC2" s="1331" t="e">
        <f>INDEX(PT_DIFFERENTIATION_NTAR,MATCH(A2,PT_DIFFERENTIATION_NTAR_ID,0))</f>
        <v>#N/A</v>
      </c>
      <c r="AD2" s="1332"/>
      <c r="AE2" s="1332"/>
      <c r="AF2" s="1332"/>
      <c r="AG2" s="1332"/>
      <c r="AH2" s="1332"/>
      <c r="AI2" s="1332"/>
      <c r="AJ2" s="1333"/>
      <c r="AK2" s="7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9"/>
      <c r="AN2" s="79" t="str">
        <f t="shared" ref="AN2:AN13" si="0">IF(T2="","",T2)</f>
        <v>Наименование тарифа</v>
      </c>
      <c r="AO2" s="79"/>
      <c r="AP2" s="79"/>
    </row>
    <row r="3" spans="1:42" ht="23.25" hidden="1" customHeight="1">
      <c r="A3" s="822"/>
      <c r="B3" s="822"/>
      <c r="C3" s="822"/>
      <c r="D3" s="822"/>
      <c r="E3" s="1338"/>
      <c r="F3" s="1337">
        <v>1</v>
      </c>
      <c r="G3" s="822"/>
      <c r="H3" s="822"/>
      <c r="I3" s="822"/>
      <c r="J3" s="822"/>
      <c r="K3" s="822"/>
      <c r="L3" s="823"/>
      <c r="M3" s="452"/>
      <c r="N3" s="452"/>
      <c r="O3" s="452"/>
      <c r="P3" s="68"/>
      <c r="Q3" s="217"/>
      <c r="R3" s="218"/>
      <c r="S3" s="755" t="e">
        <f>INDEX(PT_DIFFERENTIATION_NUM_TER,MATCH(B3,PT_DIFFERENTIATION_TER_ID,0))</f>
        <v>#N/A</v>
      </c>
      <c r="T3" s="187" t="s">
        <v>1462</v>
      </c>
      <c r="U3" s="179"/>
      <c r="V3" s="1331"/>
      <c r="W3" s="1332"/>
      <c r="X3" s="1332"/>
      <c r="Y3" s="1332"/>
      <c r="Z3" s="1332"/>
      <c r="AA3" s="1332"/>
      <c r="AB3" s="1333"/>
      <c r="AC3" s="1331" t="e">
        <f>INDEX(PT_DIFFERENTIATION_TER,MATCH(B3,PT_DIFFERENTIATION_TER_ID,0))</f>
        <v>#N/A</v>
      </c>
      <c r="AD3" s="1332"/>
      <c r="AE3" s="1332"/>
      <c r="AF3" s="1332"/>
      <c r="AG3" s="1332"/>
      <c r="AH3" s="1332"/>
      <c r="AI3" s="1332"/>
      <c r="AJ3" s="1333"/>
      <c r="AK3" s="782" t="s">
        <v>1463</v>
      </c>
      <c r="AM3" s="79"/>
      <c r="AN3" s="79" t="str">
        <f t="shared" si="0"/>
        <v>Территория действия тарифа</v>
      </c>
      <c r="AO3" s="79"/>
      <c r="AP3" s="79"/>
    </row>
    <row r="4" spans="1:42" ht="23.25" hidden="1" customHeight="1">
      <c r="A4" s="822"/>
      <c r="B4" s="822"/>
      <c r="C4" s="822"/>
      <c r="D4" s="822"/>
      <c r="E4" s="1338"/>
      <c r="F4" s="1338"/>
      <c r="G4" s="1337">
        <v>1</v>
      </c>
      <c r="H4" s="822"/>
      <c r="I4" s="822"/>
      <c r="J4" s="822"/>
      <c r="K4" s="822"/>
      <c r="L4" s="823"/>
      <c r="M4" s="452"/>
      <c r="N4" s="452"/>
      <c r="O4" s="452"/>
      <c r="P4" s="219"/>
      <c r="Q4" s="217"/>
      <c r="R4" s="218"/>
      <c r="S4" s="755" t="e">
        <f>INDEX(PT_DIFFERENTIATION_NUM_CS,MATCH(C4,PT_DIFFERENTIATION_CS_ID,0))</f>
        <v>#N/A</v>
      </c>
      <c r="T4" s="188" t="s">
        <v>1681</v>
      </c>
      <c r="U4" s="179"/>
      <c r="V4" s="1331"/>
      <c r="W4" s="1332"/>
      <c r="X4" s="1332"/>
      <c r="Y4" s="1332"/>
      <c r="Z4" s="1332"/>
      <c r="AA4" s="1332"/>
      <c r="AB4" s="1333"/>
      <c r="AC4" s="1331" t="e">
        <f>INDEX(PT_DIFFERENTIATION_CS,MATCH(C4,PT_DIFFERENTIATION_CS_ID,0))</f>
        <v>#N/A</v>
      </c>
      <c r="AD4" s="1332"/>
      <c r="AE4" s="1332"/>
      <c r="AF4" s="1332"/>
      <c r="AG4" s="1332"/>
      <c r="AH4" s="1332"/>
      <c r="AI4" s="1332"/>
      <c r="AJ4" s="1333"/>
      <c r="AK4" s="782" t="s">
        <v>1682</v>
      </c>
      <c r="AM4" s="79"/>
      <c r="AN4" s="79" t="str">
        <f t="shared" si="0"/>
        <v>Наименование централизованной системы холодного водоснабжения</v>
      </c>
      <c r="AO4" s="79"/>
      <c r="AP4" s="79"/>
    </row>
    <row r="5" spans="1:42" ht="23.25" hidden="1" customHeight="1">
      <c r="A5" s="822"/>
      <c r="B5" s="822"/>
      <c r="C5" s="822"/>
      <c r="D5" s="822"/>
      <c r="E5" s="1338"/>
      <c r="F5" s="1338"/>
      <c r="G5" s="1338"/>
      <c r="H5" s="1338"/>
      <c r="I5" s="1339" t="e">
        <f>S4&amp;".1"</f>
        <v>#N/A</v>
      </c>
      <c r="J5" s="822"/>
      <c r="K5" s="822"/>
      <c r="L5" s="823"/>
      <c r="P5" s="1259">
        <v>1</v>
      </c>
      <c r="Q5" s="127"/>
      <c r="R5" s="221"/>
      <c r="S5" s="755" t="e">
        <f>$I5</f>
        <v>#N/A</v>
      </c>
      <c r="T5" s="172" t="s">
        <v>1683</v>
      </c>
      <c r="U5" s="179"/>
      <c r="V5" s="1429"/>
      <c r="W5" s="1430"/>
      <c r="X5" s="1430"/>
      <c r="Y5" s="1430"/>
      <c r="Z5" s="1430"/>
      <c r="AA5" s="1430"/>
      <c r="AB5" s="1431"/>
      <c r="AC5" s="1432"/>
      <c r="AD5" s="1433"/>
      <c r="AE5" s="1433"/>
      <c r="AF5" s="1433"/>
      <c r="AG5" s="1433"/>
      <c r="AH5" s="1433"/>
      <c r="AI5" s="1433"/>
      <c r="AJ5" s="1434"/>
      <c r="AK5" s="782" t="s">
        <v>1684</v>
      </c>
      <c r="AM5" s="79"/>
      <c r="AN5" s="79" t="str">
        <f t="shared" si="0"/>
        <v>Наименование признака дифференциации</v>
      </c>
      <c r="AO5" s="79"/>
      <c r="AP5" s="79"/>
    </row>
    <row r="6" spans="1:42" ht="23.25" hidden="1" customHeight="1">
      <c r="A6" s="822"/>
      <c r="B6" s="822"/>
      <c r="C6" s="822"/>
      <c r="D6" s="822"/>
      <c r="E6" s="1338"/>
      <c r="F6" s="1338"/>
      <c r="G6" s="1338"/>
      <c r="H6" s="1338"/>
      <c r="I6" s="1340"/>
      <c r="J6" s="1339" t="e">
        <f>I5&amp;".1"</f>
        <v>#N/A</v>
      </c>
      <c r="K6" s="822"/>
      <c r="L6" s="823" t="s">
        <v>1471</v>
      </c>
      <c r="P6" s="1259"/>
      <c r="Q6" s="1259">
        <v>1</v>
      </c>
      <c r="R6" s="222"/>
      <c r="S6" s="755" t="e">
        <f>$J6</f>
        <v>#N/A</v>
      </c>
      <c r="T6" s="173" t="s">
        <v>1472</v>
      </c>
      <c r="U6" s="179"/>
      <c r="V6" s="1326"/>
      <c r="W6" s="1327"/>
      <c r="X6" s="1327"/>
      <c r="Y6" s="1327"/>
      <c r="Z6" s="1327"/>
      <c r="AA6" s="1327"/>
      <c r="AB6" s="1328"/>
      <c r="AC6" s="1326"/>
      <c r="AD6" s="1327"/>
      <c r="AE6" s="1327"/>
      <c r="AF6" s="1327"/>
      <c r="AG6" s="1327"/>
      <c r="AH6" s="1327"/>
      <c r="AI6" s="1327"/>
      <c r="AJ6" s="1328"/>
      <c r="AK6" s="809" t="s">
        <v>1685</v>
      </c>
      <c r="AM6" s="79"/>
      <c r="AN6" s="79" t="str">
        <f t="shared" si="0"/>
        <v>Группа потребителей</v>
      </c>
      <c r="AO6" s="79"/>
      <c r="AP6" s="79"/>
    </row>
    <row r="7" spans="1:42" ht="23.25" hidden="1" customHeight="1">
      <c r="A7" s="822"/>
      <c r="B7" s="822"/>
      <c r="C7" s="822"/>
      <c r="D7" s="822"/>
      <c r="E7" s="1338"/>
      <c r="F7" s="1338"/>
      <c r="G7" s="1338"/>
      <c r="H7" s="1338"/>
      <c r="I7" s="1340"/>
      <c r="J7" s="1340"/>
      <c r="K7" s="1339" t="e">
        <f>J6&amp;".1"</f>
        <v>#N/A</v>
      </c>
      <c r="L7" s="823"/>
      <c r="P7" s="1259"/>
      <c r="Q7" s="1259"/>
      <c r="R7" s="222">
        <v>1</v>
      </c>
      <c r="S7" s="755" t="e">
        <f>$K7</f>
        <v>#N/A</v>
      </c>
      <c r="T7" s="853"/>
      <c r="U7" s="179"/>
      <c r="V7" s="1054"/>
      <c r="W7" s="1054"/>
      <c r="X7" s="1056"/>
      <c r="Y7" s="1341"/>
      <c r="Z7" s="1133" t="s">
        <v>67</v>
      </c>
      <c r="AA7" s="1341"/>
      <c r="AB7" s="1133" t="s">
        <v>67</v>
      </c>
      <c r="AC7" s="1054"/>
      <c r="AD7" s="1054"/>
      <c r="AE7" s="1056"/>
      <c r="AF7" s="1341"/>
      <c r="AG7" s="1133" t="s">
        <v>67</v>
      </c>
      <c r="AH7" s="1343"/>
      <c r="AI7" s="1133" t="s">
        <v>67</v>
      </c>
      <c r="AJ7" s="1082"/>
      <c r="AK7" s="143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7" t="e">
        <f ca="1">STRCHECKDATE(V8:AJ8)</f>
        <v>#NAME?</v>
      </c>
      <c r="AM7" s="79"/>
      <c r="AN7" s="79" t="str">
        <f t="shared" si="0"/>
        <v/>
      </c>
      <c r="AO7" s="79"/>
      <c r="AP7" s="79"/>
    </row>
    <row r="8" spans="1:42" ht="0.75" hidden="1" customHeight="1">
      <c r="A8" s="822"/>
      <c r="B8" s="822"/>
      <c r="C8" s="822"/>
      <c r="D8" s="822"/>
      <c r="E8" s="1338"/>
      <c r="F8" s="1338"/>
      <c r="G8" s="1338"/>
      <c r="H8" s="1338"/>
      <c r="I8" s="1340"/>
      <c r="J8" s="1340"/>
      <c r="K8" s="1339"/>
      <c r="L8" s="823"/>
      <c r="P8" s="1259"/>
      <c r="Q8" s="1259"/>
      <c r="R8" s="222"/>
      <c r="S8" s="74"/>
      <c r="T8" s="179"/>
      <c r="U8" s="179"/>
      <c r="V8" s="1055"/>
      <c r="W8" s="1055"/>
      <c r="X8" s="1057" t="str">
        <f>Y7&amp;"-"&amp;AA7</f>
        <v>-</v>
      </c>
      <c r="Y8" s="1342"/>
      <c r="Z8" s="1133"/>
      <c r="AA8" s="1342"/>
      <c r="AB8" s="1133"/>
      <c r="AC8" s="1055"/>
      <c r="AD8" s="1055"/>
      <c r="AE8" s="1057" t="str">
        <f>AF7&amp;"-"&amp;AH7</f>
        <v>-</v>
      </c>
      <c r="AF8" s="1342"/>
      <c r="AG8" s="1133"/>
      <c r="AH8" s="1344"/>
      <c r="AI8" s="1133"/>
      <c r="AJ8" s="1083"/>
      <c r="AK8" s="1435"/>
      <c r="AM8" s="79"/>
      <c r="AN8" s="79" t="str">
        <f t="shared" si="0"/>
        <v/>
      </c>
      <c r="AO8" s="79"/>
      <c r="AP8" s="79"/>
    </row>
    <row r="9" spans="1:42" ht="21" hidden="1" customHeight="1">
      <c r="A9" s="822"/>
      <c r="B9" s="822"/>
      <c r="C9" s="822"/>
      <c r="D9" s="822"/>
      <c r="E9" s="1338"/>
      <c r="F9" s="1338"/>
      <c r="G9" s="1338"/>
      <c r="H9" s="1338"/>
      <c r="I9" s="1340"/>
      <c r="J9" s="1339"/>
      <c r="K9" s="822"/>
      <c r="L9" s="823"/>
      <c r="P9" s="1259"/>
      <c r="Q9" s="1259"/>
      <c r="R9" s="221"/>
      <c r="S9" s="796"/>
      <c r="T9" s="174" t="s">
        <v>1686</v>
      </c>
      <c r="U9" s="228"/>
      <c r="V9" s="228"/>
      <c r="W9" s="228"/>
      <c r="X9" s="228"/>
      <c r="Y9" s="228"/>
      <c r="Z9" s="228"/>
      <c r="AA9" s="228"/>
      <c r="AB9" s="228"/>
      <c r="AC9" s="228"/>
      <c r="AD9" s="228"/>
      <c r="AE9" s="228"/>
      <c r="AF9" s="228"/>
      <c r="AG9" s="228"/>
      <c r="AH9" s="228"/>
      <c r="AI9" s="228"/>
      <c r="AJ9" s="228"/>
      <c r="AK9" s="782" t="s">
        <v>1687</v>
      </c>
      <c r="AM9" s="79"/>
      <c r="AN9" s="79" t="str">
        <f t="shared" si="0"/>
        <v>Добавить значение признака дифференциации</v>
      </c>
      <c r="AO9" s="79"/>
      <c r="AP9" s="79"/>
    </row>
    <row r="10" spans="1:42" ht="21" hidden="1" customHeight="1">
      <c r="A10" s="822"/>
      <c r="B10" s="822"/>
      <c r="C10" s="822"/>
      <c r="D10" s="822"/>
      <c r="E10" s="1338"/>
      <c r="F10" s="1338"/>
      <c r="G10" s="1338"/>
      <c r="H10" s="1338"/>
      <c r="I10" s="1339"/>
      <c r="J10" s="822"/>
      <c r="K10" s="822"/>
      <c r="L10" s="823"/>
      <c r="P10" s="1259"/>
      <c r="Q10" s="127"/>
      <c r="R10" s="221"/>
      <c r="S10" s="796"/>
      <c r="T10" s="226" t="s">
        <v>1477</v>
      </c>
      <c r="U10" s="228"/>
      <c r="V10" s="228"/>
      <c r="W10" s="228"/>
      <c r="X10" s="228"/>
      <c r="Y10" s="228"/>
      <c r="Z10" s="228"/>
      <c r="AA10" s="228"/>
      <c r="AB10" s="205"/>
      <c r="AC10" s="228"/>
      <c r="AD10" s="228"/>
      <c r="AE10" s="228"/>
      <c r="AF10" s="228"/>
      <c r="AG10" s="228"/>
      <c r="AH10" s="228"/>
      <c r="AI10" s="205"/>
      <c r="AJ10" s="228"/>
      <c r="AK10" s="854"/>
      <c r="AM10" s="79"/>
      <c r="AN10" s="79" t="str">
        <f t="shared" si="0"/>
        <v>Добавить группу потребителей</v>
      </c>
      <c r="AO10" s="79"/>
      <c r="AP10" s="79"/>
    </row>
    <row r="11" spans="1:42" ht="21" hidden="1" customHeight="1">
      <c r="A11" s="822"/>
      <c r="B11" s="822"/>
      <c r="C11" s="822"/>
      <c r="D11" s="822"/>
      <c r="E11" s="1338"/>
      <c r="F11" s="1338"/>
      <c r="G11" s="1338"/>
      <c r="H11" s="1337"/>
      <c r="I11" s="822"/>
      <c r="J11" s="822"/>
      <c r="K11" s="822"/>
      <c r="L11" s="823"/>
      <c r="M11" s="452"/>
      <c r="N11" s="452"/>
      <c r="O11" s="72"/>
      <c r="P11" s="43"/>
      <c r="Q11" s="231"/>
      <c r="R11" s="220"/>
      <c r="S11" s="796"/>
      <c r="T11" s="113" t="s">
        <v>1688</v>
      </c>
      <c r="U11" s="228"/>
      <c r="V11" s="228"/>
      <c r="W11" s="228"/>
      <c r="X11" s="228"/>
      <c r="Y11" s="228"/>
      <c r="Z11" s="228"/>
      <c r="AA11" s="228"/>
      <c r="AB11" s="205"/>
      <c r="AC11" s="228"/>
      <c r="AD11" s="228"/>
      <c r="AE11" s="228"/>
      <c r="AF11" s="228"/>
      <c r="AG11" s="228"/>
      <c r="AH11" s="228"/>
      <c r="AI11" s="205"/>
      <c r="AJ11" s="228"/>
      <c r="AK11" s="182"/>
      <c r="AM11" s="79"/>
      <c r="AN11" s="79" t="str">
        <f t="shared" si="0"/>
        <v>Добавить наименование признака дифференциации</v>
      </c>
      <c r="AO11" s="79"/>
      <c r="AP11" s="79"/>
    </row>
    <row r="12" spans="1:42" s="77" customFormat="1" ht="0.75" hidden="1" customHeight="1">
      <c r="A12" s="150"/>
      <c r="B12" s="150"/>
      <c r="C12" s="150"/>
      <c r="D12" s="150"/>
      <c r="E12" s="1338"/>
      <c r="F12" s="1337"/>
      <c r="G12" s="150"/>
      <c r="H12" s="150"/>
      <c r="I12" s="150"/>
      <c r="J12" s="150"/>
      <c r="K12" s="150"/>
      <c r="L12" s="373"/>
      <c r="M12" s="815"/>
      <c r="N12" s="815"/>
      <c r="P12" s="111"/>
      <c r="Q12" s="811"/>
      <c r="R12" s="111"/>
      <c r="S12" s="816"/>
      <c r="T12" s="818" t="s">
        <v>1438</v>
      </c>
      <c r="U12" s="338"/>
      <c r="V12" s="338"/>
      <c r="W12" s="338"/>
      <c r="X12" s="338"/>
      <c r="Y12" s="338"/>
      <c r="Z12" s="338"/>
      <c r="AA12" s="338"/>
      <c r="AB12" s="338"/>
      <c r="AC12" s="338"/>
      <c r="AD12" s="338"/>
      <c r="AE12" s="338"/>
      <c r="AF12" s="338"/>
      <c r="AG12" s="338"/>
      <c r="AH12" s="338"/>
      <c r="AI12" s="338"/>
      <c r="AJ12" s="338"/>
      <c r="AK12" s="338"/>
      <c r="AM12" s="79"/>
      <c r="AN12" s="79" t="str">
        <f t="shared" si="0"/>
        <v>Добавить централизованную систему для дифференциации</v>
      </c>
      <c r="AO12" s="79"/>
      <c r="AP12" s="79"/>
    </row>
    <row r="13" spans="1:42" s="77" customFormat="1" ht="0.75" hidden="1" customHeight="1">
      <c r="A13" s="150"/>
      <c r="B13" s="150"/>
      <c r="C13" s="150"/>
      <c r="D13" s="150"/>
      <c r="E13" s="1337"/>
      <c r="F13" s="150"/>
      <c r="G13" s="150"/>
      <c r="H13" s="150"/>
      <c r="I13" s="150"/>
      <c r="J13" s="150"/>
      <c r="K13" s="150"/>
      <c r="L13" s="373"/>
      <c r="M13" s="815"/>
      <c r="N13" s="815"/>
      <c r="P13" s="111"/>
      <c r="Q13" s="811"/>
      <c r="R13" s="111"/>
      <c r="S13" s="816"/>
      <c r="T13" s="818" t="s">
        <v>1439</v>
      </c>
      <c r="U13" s="338"/>
      <c r="V13" s="338"/>
      <c r="W13" s="338"/>
      <c r="X13" s="338"/>
      <c r="Y13" s="338"/>
      <c r="Z13" s="338"/>
      <c r="AA13" s="338"/>
      <c r="AB13" s="338"/>
      <c r="AC13" s="338"/>
      <c r="AD13" s="338"/>
      <c r="AE13" s="338"/>
      <c r="AF13" s="338"/>
      <c r="AG13" s="338"/>
      <c r="AH13" s="338"/>
      <c r="AI13" s="338"/>
      <c r="AJ13" s="338"/>
      <c r="AK13" s="338"/>
      <c r="AM13" s="79"/>
      <c r="AN13" s="79" t="str">
        <f t="shared" si="0"/>
        <v>Добавить территорию для дифференциации</v>
      </c>
      <c r="AO13" s="79"/>
      <c r="AP13" s="79"/>
    </row>
    <row r="14" spans="1:42" ht="14.25" hidden="1" customHeight="1"/>
    <row r="15" spans="1:42" ht="14.25" hidden="1" customHeight="1">
      <c r="AC15" s="1058"/>
      <c r="AD15" s="1058"/>
      <c r="AE15" s="1059"/>
      <c r="AF15" s="1335"/>
      <c r="AG15" s="1334" t="s">
        <v>67</v>
      </c>
      <c r="AH15" s="1335"/>
      <c r="AI15" s="1334" t="s">
        <v>67</v>
      </c>
    </row>
    <row r="16" spans="1:42" ht="14.25" hidden="1" customHeight="1">
      <c r="AC16" s="1058"/>
      <c r="AD16" s="1058"/>
      <c r="AE16" s="1057" t="str">
        <f>AF15&amp;"-"&amp;AH15</f>
        <v>-</v>
      </c>
      <c r="AF16" s="1334"/>
      <c r="AG16" s="1334"/>
      <c r="AH16" s="1334"/>
      <c r="AI16" s="1334"/>
    </row>
    <row r="17" spans="1:42" ht="14.25" hidden="1" customHeight="1"/>
    <row r="18" spans="1:42" s="72" customFormat="1" ht="22.5" hidden="1" customHeight="1">
      <c r="L18" s="388"/>
      <c r="M18" s="541"/>
      <c r="N18" s="541"/>
      <c r="O18" s="824" t="s">
        <v>1479</v>
      </c>
      <c r="P18" s="541"/>
      <c r="Q18" s="825"/>
      <c r="R18" s="825"/>
      <c r="S18" s="452"/>
      <c r="Y18" s="824"/>
      <c r="AA18" s="824"/>
      <c r="AF18" s="824"/>
      <c r="AH18" s="824"/>
      <c r="AL18" s="77"/>
      <c r="AM18" s="77"/>
      <c r="AN18" s="77"/>
      <c r="AO18" s="77"/>
      <c r="AP18" s="77"/>
    </row>
    <row r="19" spans="1:42" s="72" customFormat="1" ht="14.25" hidden="1" customHeight="1">
      <c r="L19" s="388"/>
      <c r="M19" s="541"/>
      <c r="N19" s="541"/>
      <c r="O19" s="541"/>
      <c r="P19" s="541"/>
      <c r="Q19" s="825"/>
      <c r="R19" s="825"/>
      <c r="S19" s="452"/>
      <c r="AL19" s="77"/>
      <c r="AM19" s="77"/>
      <c r="AN19" s="77"/>
      <c r="AO19" s="77"/>
      <c r="AP19" s="77"/>
    </row>
    <row r="20" spans="1:42" s="72" customFormat="1" ht="12" hidden="1" customHeight="1">
      <c r="L20" s="388"/>
      <c r="M20" s="541"/>
      <c r="N20" s="541"/>
      <c r="O20" s="823" t="s">
        <v>1480</v>
      </c>
      <c r="P20" s="541"/>
      <c r="Q20" s="855"/>
      <c r="R20" s="855"/>
      <c r="S20" s="452"/>
      <c r="T20" s="72" t="s">
        <v>1481</v>
      </c>
      <c r="Z20" s="91" t="s">
        <v>1482</v>
      </c>
      <c r="AB20" s="91" t="s">
        <v>1483</v>
      </c>
      <c r="AC20" s="72" t="s">
        <v>1481</v>
      </c>
      <c r="AG20" s="91" t="s">
        <v>1484</v>
      </c>
      <c r="AI20" s="91" t="s">
        <v>1483</v>
      </c>
    </row>
    <row r="21" spans="1:42" ht="14.25" hidden="1" customHeight="1">
      <c r="O21" s="823"/>
    </row>
    <row r="22" spans="1:42" ht="14.25" hidden="1" customHeight="1">
      <c r="O22" s="823"/>
    </row>
    <row r="23" spans="1:42" ht="14.25" customHeight="1">
      <c r="Q23" s="36"/>
      <c r="R23" s="36"/>
      <c r="S23" s="793"/>
      <c r="T23" s="25"/>
      <c r="U23" s="25"/>
    </row>
    <row r="24" spans="1:42" ht="32.25" customHeight="1">
      <c r="Q24" s="36"/>
      <c r="R24" s="36"/>
      <c r="S24" s="1181"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1181"/>
      <c r="U24" s="1181"/>
      <c r="V24" s="1181"/>
      <c r="W24" s="1181"/>
      <c r="X24" s="1181"/>
      <c r="Y24" s="1181"/>
      <c r="Z24" s="1181"/>
      <c r="AA24" s="1181"/>
      <c r="AB24" s="1181"/>
      <c r="AC24" s="1181"/>
      <c r="AD24" s="1181"/>
      <c r="AE24" s="1181"/>
      <c r="AF24" s="1181"/>
      <c r="AG24" s="1181"/>
      <c r="AH24" s="1181"/>
      <c r="AI24" s="69"/>
    </row>
    <row r="25" spans="1:42" ht="14.25" customHeight="1">
      <c r="Q25" s="36"/>
      <c r="R25" s="36"/>
      <c r="S25" s="1204" t="str">
        <f>IF(org=0,"Не определено",org)</f>
        <v>ООО "ТЕПЛО ПЛЮС"</v>
      </c>
      <c r="T25" s="1204"/>
      <c r="U25" s="1204"/>
      <c r="V25" s="1204"/>
      <c r="W25" s="1204"/>
      <c r="X25" s="1204"/>
      <c r="Y25" s="1204"/>
      <c r="Z25" s="1204"/>
      <c r="AA25" s="1204"/>
      <c r="AB25" s="1204"/>
      <c r="AC25" s="1204"/>
      <c r="AD25" s="1204"/>
      <c r="AE25" s="1204"/>
      <c r="AF25" s="1204"/>
      <c r="AG25" s="1204"/>
      <c r="AH25" s="1204"/>
      <c r="AI25" s="69"/>
    </row>
    <row r="26" spans="1:42" ht="14.25" hidden="1" customHeight="1">
      <c r="Q26" s="36"/>
      <c r="R26" s="36"/>
      <c r="S26" s="793"/>
      <c r="T26" s="25"/>
      <c r="U26" s="25"/>
      <c r="V26" s="202"/>
      <c r="W26" s="202"/>
      <c r="X26" s="202"/>
      <c r="Y26" s="202"/>
      <c r="Z26" s="202"/>
      <c r="AA26" s="202"/>
      <c r="AB26" s="202"/>
      <c r="AC26" s="202"/>
      <c r="AD26" s="202"/>
      <c r="AE26" s="202"/>
      <c r="AF26" s="202"/>
      <c r="AG26" s="202"/>
      <c r="AH26" s="202"/>
      <c r="AI26" s="202"/>
    </row>
    <row r="27" spans="1:42" s="44" customFormat="1" ht="25.5" hidden="1" customHeight="1">
      <c r="A27" s="91"/>
      <c r="B27" s="91"/>
      <c r="C27" s="91"/>
      <c r="D27" s="91"/>
      <c r="E27" s="91"/>
      <c r="F27" s="91"/>
      <c r="G27" s="91"/>
      <c r="H27" s="91"/>
      <c r="I27" s="91"/>
      <c r="J27" s="91"/>
      <c r="K27" s="91"/>
      <c r="L27" s="823"/>
      <c r="M27" s="91"/>
      <c r="N27" s="91"/>
      <c r="O27" s="91"/>
      <c r="S27" s="1329" t="s">
        <v>39</v>
      </c>
      <c r="T27" s="1329"/>
      <c r="U27" s="826"/>
      <c r="V27" s="1330" t="str">
        <f>IF(TITLE_NAME_OR_PR_CHANGE="",IF(TITLE_NAME_OR_PR="","",TITLE_NAME_OR_PR),TITLE_NAME_OR_PR_CHANGE)</f>
        <v/>
      </c>
      <c r="W27" s="1330"/>
      <c r="X27" s="1330"/>
      <c r="Y27" s="1330"/>
      <c r="Z27" s="1330"/>
      <c r="AA27" s="1330"/>
      <c r="AB27" s="24"/>
      <c r="AC27" s="1330" t="str">
        <f>IF(TITLE_NAME_OR_PR_CHANGE="",IF(TITLE_NAME_OR_PR="","",TITLE_NAME_OR_PR),TITLE_NAME_OR_PR_CHANGE)</f>
        <v/>
      </c>
      <c r="AD27" s="1330"/>
      <c r="AE27" s="1330"/>
      <c r="AF27" s="1330"/>
      <c r="AG27" s="1330"/>
      <c r="AH27" s="1330"/>
      <c r="AI27" s="24"/>
      <c r="AJ27" s="24"/>
      <c r="AK27" s="171"/>
      <c r="AL27" s="79"/>
      <c r="AM27" s="79"/>
      <c r="AN27" s="79"/>
      <c r="AO27" s="79"/>
      <c r="AP27" s="79"/>
    </row>
    <row r="28" spans="1:42" s="44" customFormat="1" ht="18.75" hidden="1" customHeight="1">
      <c r="A28" s="91"/>
      <c r="B28" s="91"/>
      <c r="C28" s="91"/>
      <c r="D28" s="91"/>
      <c r="E28" s="91"/>
      <c r="F28" s="91"/>
      <c r="G28" s="91"/>
      <c r="H28" s="91"/>
      <c r="I28" s="91"/>
      <c r="J28" s="91"/>
      <c r="K28" s="91"/>
      <c r="L28" s="823"/>
      <c r="M28" s="91"/>
      <c r="N28" s="91"/>
      <c r="O28" s="91"/>
      <c r="S28" s="1329" t="s">
        <v>1485</v>
      </c>
      <c r="T28" s="1329"/>
      <c r="U28" s="826"/>
      <c r="V28" s="1330" t="str">
        <f>IF(TITLE_DATE_CHANGE_PERIOD="",IF(TITLE_DATE_PR="","",TITLE_DATE_PR),TITLE_DATE_CHANGE_PERIOD)</f>
        <v/>
      </c>
      <c r="W28" s="1330"/>
      <c r="X28" s="1330"/>
      <c r="Y28" s="1330"/>
      <c r="Z28" s="1330"/>
      <c r="AA28" s="1330"/>
      <c r="AB28" s="24"/>
      <c r="AC28" s="1330" t="str">
        <f>IF(TITLE_DATE_CHANGE_PERIOD="",IF(TITLE_DATE_PR="","",TITLE_DATE_PR),TITLE_DATE_CHANGE_PERIOD)</f>
        <v/>
      </c>
      <c r="AD28" s="1330"/>
      <c r="AE28" s="1330"/>
      <c r="AF28" s="1330"/>
      <c r="AG28" s="1330"/>
      <c r="AH28" s="1330"/>
      <c r="AI28" s="24"/>
      <c r="AJ28" s="24"/>
      <c r="AK28" s="171"/>
      <c r="AL28" s="79"/>
      <c r="AM28" s="79"/>
      <c r="AN28" s="79"/>
      <c r="AO28" s="79"/>
      <c r="AP28" s="79"/>
    </row>
    <row r="29" spans="1:42" s="44" customFormat="1" ht="18.75" hidden="1" customHeight="1">
      <c r="A29" s="91"/>
      <c r="B29" s="91"/>
      <c r="C29" s="91"/>
      <c r="D29" s="91"/>
      <c r="E29" s="91"/>
      <c r="F29" s="91"/>
      <c r="G29" s="91"/>
      <c r="H29" s="91"/>
      <c r="I29" s="91"/>
      <c r="J29" s="91"/>
      <c r="K29" s="91"/>
      <c r="L29" s="823"/>
      <c r="M29" s="91"/>
      <c r="N29" s="91"/>
      <c r="O29" s="91"/>
      <c r="S29" s="1329" t="s">
        <v>1486</v>
      </c>
      <c r="T29" s="1329"/>
      <c r="U29" s="826"/>
      <c r="V29" s="1330" t="str">
        <f>IF(TITLE_NUMBER_PR_CHANGE="",IF(TITLE_NUMBER_PR="","",TITLE_NUMBER_PR),TITLE_NUMBER_PR_CHANGE)</f>
        <v/>
      </c>
      <c r="W29" s="1330"/>
      <c r="X29" s="1330"/>
      <c r="Y29" s="1330"/>
      <c r="Z29" s="1330"/>
      <c r="AA29" s="1330"/>
      <c r="AB29" s="24"/>
      <c r="AC29" s="1330" t="str">
        <f>IF(TITLE_NUMBER_PR_CHANGE="",IF(TITLE_NUMBER_PR="","",TITLE_NUMBER_PR),TITLE_NUMBER_PR_CHANGE)</f>
        <v/>
      </c>
      <c r="AD29" s="1330"/>
      <c r="AE29" s="1330"/>
      <c r="AF29" s="1330"/>
      <c r="AG29" s="1330"/>
      <c r="AH29" s="1330"/>
      <c r="AI29" s="24"/>
      <c r="AJ29" s="24"/>
      <c r="AK29" s="171"/>
      <c r="AL29" s="79"/>
      <c r="AM29" s="79"/>
      <c r="AN29" s="79"/>
      <c r="AO29" s="79"/>
      <c r="AP29" s="79"/>
    </row>
    <row r="30" spans="1:42" s="44" customFormat="1" ht="18.75" hidden="1" customHeight="1">
      <c r="A30" s="91"/>
      <c r="B30" s="91"/>
      <c r="C30" s="91"/>
      <c r="D30" s="91"/>
      <c r="E30" s="91"/>
      <c r="F30" s="91"/>
      <c r="G30" s="91"/>
      <c r="H30" s="91"/>
      <c r="I30" s="91"/>
      <c r="J30" s="91"/>
      <c r="K30" s="91"/>
      <c r="L30" s="823"/>
      <c r="M30" s="91"/>
      <c r="N30" s="91"/>
      <c r="O30" s="91"/>
      <c r="S30" s="1329" t="s">
        <v>40</v>
      </c>
      <c r="T30" s="1329"/>
      <c r="U30" s="826"/>
      <c r="V30" s="1330" t="str">
        <f>IF(TITLE_IST_PUB_CHANGE="",IF(TITLE_IST_PUB="","",TITLE_IST_PUB),TITLE_IST_PUB_CHANGE)</f>
        <v/>
      </c>
      <c r="W30" s="1330"/>
      <c r="X30" s="1330"/>
      <c r="Y30" s="1330"/>
      <c r="Z30" s="1330"/>
      <c r="AA30" s="1330"/>
      <c r="AB30" s="24"/>
      <c r="AC30" s="1330" t="str">
        <f>IF(TITLE_IST_PUB_CHANGE="",IF(TITLE_IST_PUB="","",TITLE_IST_PUB),TITLE_IST_PUB_CHANGE)</f>
        <v/>
      </c>
      <c r="AD30" s="1330"/>
      <c r="AE30" s="1330"/>
      <c r="AF30" s="1330"/>
      <c r="AG30" s="1330"/>
      <c r="AH30" s="1330"/>
      <c r="AI30" s="24"/>
      <c r="AJ30" s="24"/>
      <c r="AK30" s="171"/>
      <c r="AL30" s="79"/>
      <c r="AM30" s="79"/>
      <c r="AN30" s="79"/>
      <c r="AO30" s="79"/>
      <c r="AP30" s="79"/>
    </row>
    <row r="31" spans="1:42" ht="14.25" hidden="1" customHeight="1">
      <c r="Q31" s="36"/>
      <c r="R31" s="36"/>
      <c r="S31" s="793"/>
      <c r="T31" s="25"/>
      <c r="U31" s="25"/>
      <c r="V31" s="202"/>
      <c r="W31" s="202"/>
      <c r="X31" s="202"/>
      <c r="Y31" s="202"/>
      <c r="Z31" s="202"/>
      <c r="AA31" s="202"/>
      <c r="AB31" s="202"/>
      <c r="AC31" s="202"/>
      <c r="AD31" s="202"/>
      <c r="AE31" s="202"/>
      <c r="AF31" s="202"/>
      <c r="AG31" s="202"/>
      <c r="AH31" s="202"/>
      <c r="AI31" s="202"/>
    </row>
    <row r="32" spans="1:42" s="44" customFormat="1" ht="18.75" hidden="1" customHeight="1">
      <c r="A32" s="91"/>
      <c r="B32" s="91"/>
      <c r="C32" s="91"/>
      <c r="D32" s="91"/>
      <c r="E32" s="91"/>
      <c r="F32" s="91"/>
      <c r="G32" s="91"/>
      <c r="H32" s="91"/>
      <c r="I32" s="91"/>
      <c r="J32" s="91"/>
      <c r="K32" s="91"/>
      <c r="L32" s="823"/>
      <c r="M32" s="91"/>
      <c r="N32" s="91"/>
      <c r="O32" s="91"/>
      <c r="S32" s="1329" t="s">
        <v>1487</v>
      </c>
      <c r="T32" s="1329"/>
      <c r="U32" s="826"/>
      <c r="V32" s="1330" t="str">
        <f>IF(TITLE_DATE_CHANGE_PERIOD="",IF(TITLE_DATE_PR="","",TITLE_DATE_PR),TITLE_DATE_CHANGE_PERIOD)</f>
        <v/>
      </c>
      <c r="W32" s="1330"/>
      <c r="X32" s="1330"/>
      <c r="Y32" s="1330"/>
      <c r="Z32" s="1330"/>
      <c r="AA32" s="1330"/>
      <c r="AB32" s="24"/>
      <c r="AC32" s="1330" t="str">
        <f>IF(TITLE_DATE_CHANGE_PERIOD="",IF(TITLE_DATE_PR="","",TITLE_DATE_PR),TITLE_DATE_CHANGE_PERIOD)</f>
        <v/>
      </c>
      <c r="AD32" s="1330"/>
      <c r="AE32" s="1330"/>
      <c r="AF32" s="1330"/>
      <c r="AG32" s="1330"/>
      <c r="AH32" s="1330"/>
      <c r="AI32" s="24"/>
      <c r="AJ32" s="24"/>
      <c r="AK32" s="171"/>
      <c r="AL32" s="79"/>
      <c r="AM32" s="79"/>
      <c r="AN32" s="79"/>
      <c r="AO32" s="79"/>
      <c r="AP32" s="79"/>
    </row>
    <row r="33" spans="1:42" s="44" customFormat="1" ht="18.75" hidden="1" customHeight="1">
      <c r="A33" s="91"/>
      <c r="B33" s="91"/>
      <c r="C33" s="91"/>
      <c r="D33" s="91"/>
      <c r="E33" s="91"/>
      <c r="F33" s="91"/>
      <c r="G33" s="91"/>
      <c r="H33" s="91"/>
      <c r="I33" s="91"/>
      <c r="J33" s="91"/>
      <c r="K33" s="91"/>
      <c r="L33" s="823"/>
      <c r="M33" s="91"/>
      <c r="N33" s="91"/>
      <c r="O33" s="91"/>
      <c r="S33" s="1329" t="s">
        <v>1488</v>
      </c>
      <c r="T33" s="1329"/>
      <c r="U33" s="826"/>
      <c r="V33" s="1330" t="str">
        <f>IF(TITLE_NUMBER_PR_CHANGE="",IF(TITLE_NUMBER_PR="","",TITLE_NUMBER_PR),TITLE_NUMBER_PR_CHANGE)</f>
        <v/>
      </c>
      <c r="W33" s="1330"/>
      <c r="X33" s="1330"/>
      <c r="Y33" s="1330"/>
      <c r="Z33" s="1330"/>
      <c r="AA33" s="1330"/>
      <c r="AB33" s="24"/>
      <c r="AC33" s="1330" t="str">
        <f>IF(TITLE_NUMBER_PR_CHANGE="",IF(TITLE_NUMBER_PR="","",TITLE_NUMBER_PR),TITLE_NUMBER_PR_CHANGE)</f>
        <v/>
      </c>
      <c r="AD33" s="1330"/>
      <c r="AE33" s="1330"/>
      <c r="AF33" s="1330"/>
      <c r="AG33" s="1330"/>
      <c r="AH33" s="1330"/>
      <c r="AI33" s="24"/>
      <c r="AJ33" s="24"/>
      <c r="AK33" s="171"/>
      <c r="AL33" s="79"/>
      <c r="AM33" s="79"/>
      <c r="AN33" s="79"/>
      <c r="AO33" s="79"/>
      <c r="AP33" s="79"/>
    </row>
    <row r="34" spans="1:42" s="44" customFormat="1" ht="0.75" customHeight="1">
      <c r="A34" s="91"/>
      <c r="B34" s="91"/>
      <c r="C34" s="91"/>
      <c r="D34" s="91"/>
      <c r="E34" s="91"/>
      <c r="F34" s="91"/>
      <c r="G34" s="91"/>
      <c r="H34" s="91"/>
      <c r="I34" s="91"/>
      <c r="J34" s="91"/>
      <c r="K34" s="91"/>
      <c r="L34" s="823"/>
      <c r="M34" s="91"/>
      <c r="N34" s="91"/>
      <c r="O34" s="91"/>
      <c r="S34" s="24"/>
      <c r="T34" s="24"/>
      <c r="U34" s="87"/>
      <c r="V34" s="24"/>
      <c r="W34" s="24"/>
      <c r="X34" s="24"/>
      <c r="Y34" s="24"/>
      <c r="Z34" s="24"/>
      <c r="AA34" s="24"/>
      <c r="AB34" s="77" t="s">
        <v>1489</v>
      </c>
      <c r="AC34" s="24"/>
      <c r="AD34" s="24"/>
      <c r="AE34" s="24"/>
      <c r="AF34" s="24"/>
      <c r="AG34" s="24"/>
      <c r="AH34" s="24"/>
      <c r="AI34" s="77" t="s">
        <v>1489</v>
      </c>
      <c r="AL34" s="79"/>
      <c r="AM34" s="79"/>
      <c r="AN34" s="79"/>
      <c r="AO34" s="79"/>
      <c r="AP34" s="79"/>
    </row>
    <row r="35" spans="1:42" ht="14.25" customHeight="1">
      <c r="Q35" s="36"/>
      <c r="R35" s="36"/>
      <c r="S35" s="793"/>
      <c r="T35" s="25"/>
      <c r="U35" s="766"/>
      <c r="V35" s="1348"/>
      <c r="W35" s="1348"/>
      <c r="X35" s="1348"/>
      <c r="Y35" s="1348"/>
      <c r="Z35" s="1348"/>
      <c r="AA35" s="1348"/>
      <c r="AB35" s="1348"/>
      <c r="AC35" s="1348"/>
      <c r="AD35" s="1348"/>
      <c r="AE35" s="1348"/>
      <c r="AF35" s="1348"/>
      <c r="AG35" s="1348"/>
      <c r="AH35" s="1348"/>
      <c r="AI35" s="1348"/>
    </row>
    <row r="36" spans="1:42" ht="14.25" customHeight="1">
      <c r="Q36" s="36"/>
      <c r="R36" s="36"/>
      <c r="S36" s="1123" t="s">
        <v>292</v>
      </c>
      <c r="T36" s="1123"/>
      <c r="U36" s="1123"/>
      <c r="V36" s="1123"/>
      <c r="W36" s="1123"/>
      <c r="X36" s="1123"/>
      <c r="Y36" s="1123"/>
      <c r="Z36" s="1123"/>
      <c r="AA36" s="1123"/>
      <c r="AB36" s="1123"/>
      <c r="AC36" s="1123"/>
      <c r="AD36" s="1123"/>
      <c r="AE36" s="1123"/>
      <c r="AF36" s="1123"/>
      <c r="AG36" s="1123"/>
      <c r="AH36" s="1123"/>
      <c r="AI36" s="1123"/>
      <c r="AJ36" s="1123"/>
      <c r="AK36" s="1123" t="s">
        <v>293</v>
      </c>
    </row>
    <row r="37" spans="1:42" ht="14.25" customHeight="1">
      <c r="Q37" s="36"/>
      <c r="R37" s="36"/>
      <c r="S37" s="1349" t="s">
        <v>88</v>
      </c>
      <c r="T37" s="1213" t="s">
        <v>1490</v>
      </c>
      <c r="U37" s="180"/>
      <c r="V37" s="1350" t="s">
        <v>1491</v>
      </c>
      <c r="W37" s="1351"/>
      <c r="X37" s="1351"/>
      <c r="Y37" s="1351"/>
      <c r="Z37" s="1351"/>
      <c r="AA37" s="1352"/>
      <c r="AB37" s="1353" t="s">
        <v>1492</v>
      </c>
      <c r="AC37" s="1350" t="s">
        <v>1491</v>
      </c>
      <c r="AD37" s="1351"/>
      <c r="AE37" s="1351"/>
      <c r="AF37" s="1351"/>
      <c r="AG37" s="1351"/>
      <c r="AH37" s="1352"/>
      <c r="AI37" s="1353" t="s">
        <v>1493</v>
      </c>
      <c r="AJ37" s="1356" t="s">
        <v>1494</v>
      </c>
      <c r="AK37" s="1123"/>
    </row>
    <row r="38" spans="1:42" ht="33.75" customHeight="1">
      <c r="Q38" s="36"/>
      <c r="R38" s="36"/>
      <c r="S38" s="1349"/>
      <c r="T38" s="1213"/>
      <c r="U38" s="647"/>
      <c r="V38" s="366" t="s">
        <v>1689</v>
      </c>
      <c r="W38" s="1105" t="s">
        <v>1497</v>
      </c>
      <c r="X38" s="1104"/>
      <c r="Y38" s="1105" t="s">
        <v>1498</v>
      </c>
      <c r="Z38" s="1110"/>
      <c r="AA38" s="1104"/>
      <c r="AB38" s="1354"/>
      <c r="AC38" s="366" t="s">
        <v>1689</v>
      </c>
      <c r="AD38" s="1105" t="s">
        <v>1497</v>
      </c>
      <c r="AE38" s="1104"/>
      <c r="AF38" s="1105" t="s">
        <v>1498</v>
      </c>
      <c r="AG38" s="1110"/>
      <c r="AH38" s="1104"/>
      <c r="AI38" s="1354"/>
      <c r="AJ38" s="1357"/>
      <c r="AK38" s="1123"/>
    </row>
    <row r="39" spans="1:42" ht="33.75" customHeight="1">
      <c r="A39" s="91"/>
      <c r="B39" s="91" t="s">
        <v>136</v>
      </c>
      <c r="C39" s="91" t="s">
        <v>137</v>
      </c>
      <c r="D39" s="91" t="s">
        <v>138</v>
      </c>
      <c r="E39" s="823" t="s">
        <v>1499</v>
      </c>
      <c r="F39" s="823" t="s">
        <v>1500</v>
      </c>
      <c r="G39" s="823" t="s">
        <v>1501</v>
      </c>
      <c r="H39" s="823"/>
      <c r="I39" s="823" t="s">
        <v>1690</v>
      </c>
      <c r="J39" s="823" t="s">
        <v>1504</v>
      </c>
      <c r="K39" s="823" t="s">
        <v>1691</v>
      </c>
      <c r="L39" s="823" t="s">
        <v>1480</v>
      </c>
      <c r="Q39" s="36"/>
      <c r="R39" s="36"/>
      <c r="S39" s="1349"/>
      <c r="T39" s="1213"/>
      <c r="U39" s="181"/>
      <c r="V39" s="366" t="s">
        <v>1692</v>
      </c>
      <c r="W39" s="48" t="s">
        <v>1693</v>
      </c>
      <c r="X39" s="48" t="s">
        <v>1694</v>
      </c>
      <c r="Y39" s="48" t="s">
        <v>1508</v>
      </c>
      <c r="Z39" s="1219" t="s">
        <v>1509</v>
      </c>
      <c r="AA39" s="1233"/>
      <c r="AB39" s="1355"/>
      <c r="AC39" s="366" t="s">
        <v>1692</v>
      </c>
      <c r="AD39" s="48" t="s">
        <v>1693</v>
      </c>
      <c r="AE39" s="48" t="s">
        <v>1694</v>
      </c>
      <c r="AF39" s="48" t="s">
        <v>1508</v>
      </c>
      <c r="AG39" s="1219" t="s">
        <v>1509</v>
      </c>
      <c r="AH39" s="1233"/>
      <c r="AI39" s="1355"/>
      <c r="AJ39" s="1358"/>
      <c r="AK39" s="1123"/>
    </row>
    <row r="40" spans="1:42" s="216" customFormat="1" ht="11.25" hidden="1" customHeight="1">
      <c r="A40" s="91"/>
      <c r="B40" s="91"/>
      <c r="C40" s="91"/>
      <c r="D40" s="91"/>
      <c r="E40" s="91"/>
      <c r="F40" s="91"/>
      <c r="G40" s="91"/>
      <c r="H40" s="91"/>
      <c r="I40" s="91"/>
      <c r="J40" s="91"/>
      <c r="K40" s="91"/>
      <c r="L40" s="823"/>
      <c r="M40" s="541"/>
      <c r="N40" s="541"/>
      <c r="O40" s="541"/>
      <c r="P40" s="768"/>
      <c r="Q40" s="769"/>
      <c r="R40" s="777">
        <v>1</v>
      </c>
      <c r="S40" s="795" t="s">
        <v>109</v>
      </c>
      <c r="T40" s="778" t="s">
        <v>110</v>
      </c>
      <c r="U40" s="767" t="str">
        <f ca="1">OFFSET(U40,0,-1)</f>
        <v>2</v>
      </c>
      <c r="V40" s="779">
        <f ca="1">OFFSET(V40,0,-1)+1</f>
        <v>3</v>
      </c>
      <c r="W40" s="779">
        <f ca="1">OFFSET(W40,0,-1)+1</f>
        <v>4</v>
      </c>
      <c r="X40" s="779">
        <f ca="1">OFFSET(X40,0,-1)+1</f>
        <v>5</v>
      </c>
      <c r="Y40" s="779">
        <f ca="1">OFFSET(Y40,0,-1)+1</f>
        <v>6</v>
      </c>
      <c r="Z40" s="1347">
        <f ca="1">OFFSET(Z40,0,-1)+1</f>
        <v>7</v>
      </c>
      <c r="AA40" s="1347"/>
      <c r="AB40" s="779">
        <f ca="1">OFFSET(AB40,0,-2)+1</f>
        <v>8</v>
      </c>
      <c r="AC40" s="779">
        <f ca="1">OFFSET(AC40,0,-1)+1</f>
        <v>9</v>
      </c>
      <c r="AD40" s="779">
        <f ca="1">OFFSET(AD40,0,-1)+1</f>
        <v>10</v>
      </c>
      <c r="AE40" s="779">
        <f ca="1">OFFSET(AE40,0,-1)+1</f>
        <v>11</v>
      </c>
      <c r="AF40" s="779">
        <f ca="1">OFFSET(AF40,0,-1)+1</f>
        <v>12</v>
      </c>
      <c r="AG40" s="1347">
        <f ca="1">OFFSET(AG40,0,-1)+1</f>
        <v>13</v>
      </c>
      <c r="AH40" s="1347"/>
      <c r="AI40" s="779">
        <f ca="1">OFFSET(AI40,0,-2)+1</f>
        <v>14</v>
      </c>
      <c r="AJ40" s="767">
        <f ca="1">OFFSET(AJ40,0,-1)</f>
        <v>14</v>
      </c>
      <c r="AK40" s="779">
        <f ca="1">OFFSET(AK40,0,-1)+1</f>
        <v>15</v>
      </c>
      <c r="AL40" s="77"/>
      <c r="AM40" s="77"/>
      <c r="AN40" s="77"/>
      <c r="AO40" s="77"/>
      <c r="AP40" s="77"/>
    </row>
    <row r="41" spans="1:42" ht="23.25" customHeight="1">
      <c r="A41" s="822" t="s">
        <v>218</v>
      </c>
      <c r="B41" s="822"/>
      <c r="C41" s="822"/>
      <c r="D41" s="822"/>
      <c r="E41" s="1337">
        <v>1</v>
      </c>
      <c r="F41" s="822"/>
      <c r="G41" s="822"/>
      <c r="H41" s="822"/>
      <c r="I41" s="822"/>
      <c r="J41" s="822"/>
      <c r="K41" s="822"/>
      <c r="L41" s="823"/>
      <c r="M41" s="452"/>
      <c r="N41" s="452"/>
      <c r="O41" s="452"/>
      <c r="Q41" s="43"/>
      <c r="R41" s="220"/>
      <c r="S41" s="755">
        <f>INDEX(PT_DIFFERENTIATION_NUM_NTAR,MATCH(A41,PT_DIFFERENTIATION_NTAR_ID,0))</f>
        <v>0</v>
      </c>
      <c r="T41" s="76" t="s">
        <v>124</v>
      </c>
      <c r="U41" s="179"/>
      <c r="V41" s="1331"/>
      <c r="W41" s="1332"/>
      <c r="X41" s="1332"/>
      <c r="Y41" s="1332"/>
      <c r="Z41" s="1332"/>
      <c r="AA41" s="1332"/>
      <c r="AB41" s="1333"/>
      <c r="AC41" s="1331" t="str">
        <f>INDEX(PT_DIFFERENTIATION_NTAR,MATCH(A41,PT_DIFFERENTIATION_NTAR_ID,0))</f>
        <v/>
      </c>
      <c r="AD41" s="1332"/>
      <c r="AE41" s="1332"/>
      <c r="AF41" s="1332"/>
      <c r="AG41" s="1332"/>
      <c r="AH41" s="1332"/>
      <c r="AI41" s="1332"/>
      <c r="AJ41" s="1333"/>
      <c r="AK41" s="7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9"/>
      <c r="AN41" s="79" t="str">
        <f t="shared" ref="AN41:AN53" si="1">IF(T41="","",T41)</f>
        <v>Наименование тарифа</v>
      </c>
      <c r="AO41" s="79"/>
      <c r="AP41" s="79"/>
    </row>
    <row r="42" spans="1:42" ht="23.25" customHeight="1">
      <c r="A42" s="822" t="s">
        <v>218</v>
      </c>
      <c r="B42" s="822" t="s">
        <v>219</v>
      </c>
      <c r="C42" s="822"/>
      <c r="D42" s="822"/>
      <c r="E42" s="1338"/>
      <c r="F42" s="1337">
        <v>1</v>
      </c>
      <c r="G42" s="822"/>
      <c r="H42" s="822"/>
      <c r="I42" s="822"/>
      <c r="J42" s="822"/>
      <c r="K42" s="822"/>
      <c r="L42" s="823"/>
      <c r="M42" s="452"/>
      <c r="N42" s="452"/>
      <c r="O42" s="452"/>
      <c r="P42" s="68"/>
      <c r="Q42" s="217"/>
      <c r="R42" s="218"/>
      <c r="S42" s="755" t="str">
        <f>INDEX(PT_DIFFERENTIATION_NUM_TER,MATCH(B42,PT_DIFFERENTIATION_TER_ID,0))</f>
        <v>.</v>
      </c>
      <c r="T42" s="187" t="s">
        <v>1462</v>
      </c>
      <c r="U42" s="179"/>
      <c r="V42" s="1331"/>
      <c r="W42" s="1332"/>
      <c r="X42" s="1332"/>
      <c r="Y42" s="1332"/>
      <c r="Z42" s="1332"/>
      <c r="AA42" s="1332"/>
      <c r="AB42" s="1333"/>
      <c r="AC42" s="1331" t="str">
        <f>INDEX(PT_DIFFERENTIATION_TER,MATCH(B42,PT_DIFFERENTIATION_TER_ID,0))</f>
        <v/>
      </c>
      <c r="AD42" s="1332"/>
      <c r="AE42" s="1332"/>
      <c r="AF42" s="1332"/>
      <c r="AG42" s="1332"/>
      <c r="AH42" s="1332"/>
      <c r="AI42" s="1332"/>
      <c r="AJ42" s="1333"/>
      <c r="AK42" s="782" t="s">
        <v>1463</v>
      </c>
      <c r="AM42" s="79"/>
      <c r="AN42" s="79" t="str">
        <f t="shared" si="1"/>
        <v>Территория действия тарифа</v>
      </c>
      <c r="AO42" s="79"/>
      <c r="AP42" s="79"/>
    </row>
    <row r="43" spans="1:42" ht="23.25" customHeight="1">
      <c r="A43" s="822" t="s">
        <v>218</v>
      </c>
      <c r="B43" s="822" t="s">
        <v>219</v>
      </c>
      <c r="C43" s="822" t="s">
        <v>220</v>
      </c>
      <c r="D43" s="822"/>
      <c r="E43" s="1338"/>
      <c r="F43" s="1338"/>
      <c r="G43" s="1337">
        <v>1</v>
      </c>
      <c r="H43" s="822"/>
      <c r="I43" s="822"/>
      <c r="J43" s="822"/>
      <c r="K43" s="822"/>
      <c r="L43" s="823"/>
      <c r="M43" s="452"/>
      <c r="N43" s="452"/>
      <c r="O43" s="452"/>
      <c r="P43" s="219"/>
      <c r="Q43" s="217"/>
      <c r="R43" s="218"/>
      <c r="S43" s="755" t="str">
        <f>INDEX(PT_DIFFERENTIATION_NUM_CS,MATCH(C43,PT_DIFFERENTIATION_CS_ID,0))</f>
        <v>..</v>
      </c>
      <c r="T43" s="188" t="s">
        <v>1681</v>
      </c>
      <c r="U43" s="179"/>
      <c r="V43" s="1331"/>
      <c r="W43" s="1332"/>
      <c r="X43" s="1332"/>
      <c r="Y43" s="1332"/>
      <c r="Z43" s="1332"/>
      <c r="AA43" s="1332"/>
      <c r="AB43" s="1333"/>
      <c r="AC43" s="1331" t="str">
        <f>INDEX(PT_DIFFERENTIATION_CS,MATCH(C43,PT_DIFFERENTIATION_CS_ID,0))</f>
        <v/>
      </c>
      <c r="AD43" s="1332"/>
      <c r="AE43" s="1332"/>
      <c r="AF43" s="1332"/>
      <c r="AG43" s="1332"/>
      <c r="AH43" s="1332"/>
      <c r="AI43" s="1332"/>
      <c r="AJ43" s="1333"/>
      <c r="AK43" s="782" t="s">
        <v>1682</v>
      </c>
      <c r="AM43" s="79"/>
      <c r="AN43" s="79" t="str">
        <f t="shared" si="1"/>
        <v>Наименование централизованной системы холодного водоснабжения</v>
      </c>
      <c r="AO43" s="79"/>
      <c r="AP43" s="79"/>
    </row>
    <row r="44" spans="1:42" ht="23.25" customHeight="1">
      <c r="A44" s="822" t="s">
        <v>218</v>
      </c>
      <c r="B44" s="822" t="s">
        <v>219</v>
      </c>
      <c r="C44" s="822" t="s">
        <v>220</v>
      </c>
      <c r="D44" s="822" t="s">
        <v>1695</v>
      </c>
      <c r="E44" s="1338"/>
      <c r="F44" s="1338"/>
      <c r="G44" s="1338"/>
      <c r="H44" s="1338"/>
      <c r="I44" s="1339" t="str">
        <f>S43&amp;".1"</f>
        <v>...1</v>
      </c>
      <c r="J44" s="822"/>
      <c r="K44" s="822"/>
      <c r="L44" s="823"/>
      <c r="P44" s="1259">
        <v>1</v>
      </c>
      <c r="Q44" s="127"/>
      <c r="R44" s="221"/>
      <c r="S44" s="755" t="str">
        <f>$I44</f>
        <v>...1</v>
      </c>
      <c r="T44" s="172" t="s">
        <v>1683</v>
      </c>
      <c r="U44" s="179"/>
      <c r="V44" s="1429"/>
      <c r="W44" s="1430"/>
      <c r="X44" s="1430"/>
      <c r="Y44" s="1430"/>
      <c r="Z44" s="1430"/>
      <c r="AA44" s="1430"/>
      <c r="AB44" s="1431"/>
      <c r="AC44" s="1432"/>
      <c r="AD44" s="1433"/>
      <c r="AE44" s="1433"/>
      <c r="AF44" s="1433"/>
      <c r="AG44" s="1433"/>
      <c r="AH44" s="1433"/>
      <c r="AI44" s="1433"/>
      <c r="AJ44" s="1434"/>
      <c r="AK44" s="782" t="s">
        <v>1684</v>
      </c>
      <c r="AM44" s="79"/>
      <c r="AN44" s="79" t="str">
        <f t="shared" si="1"/>
        <v>Наименование признака дифференциации</v>
      </c>
      <c r="AO44" s="79"/>
      <c r="AP44" s="79"/>
    </row>
    <row r="45" spans="1:42" ht="23.25" customHeight="1">
      <c r="A45" s="822" t="s">
        <v>218</v>
      </c>
      <c r="B45" s="822" t="s">
        <v>219</v>
      </c>
      <c r="C45" s="822" t="s">
        <v>220</v>
      </c>
      <c r="D45" s="822" t="s">
        <v>1695</v>
      </c>
      <c r="E45" s="1338"/>
      <c r="F45" s="1338"/>
      <c r="G45" s="1338"/>
      <c r="H45" s="1338"/>
      <c r="I45" s="1340"/>
      <c r="J45" s="1339" t="str">
        <f>I44&amp;".1"</f>
        <v>...1.1</v>
      </c>
      <c r="K45" s="822"/>
      <c r="L45" s="823" t="s">
        <v>1471</v>
      </c>
      <c r="P45" s="1259"/>
      <c r="Q45" s="1259">
        <v>1</v>
      </c>
      <c r="R45" s="222"/>
      <c r="S45" s="755" t="str">
        <f>$J45</f>
        <v>...1.1</v>
      </c>
      <c r="T45" s="173" t="s">
        <v>1472</v>
      </c>
      <c r="U45" s="179"/>
      <c r="V45" s="1326"/>
      <c r="W45" s="1327"/>
      <c r="X45" s="1327"/>
      <c r="Y45" s="1327"/>
      <c r="Z45" s="1327"/>
      <c r="AA45" s="1327"/>
      <c r="AB45" s="1328"/>
      <c r="AC45" s="1326"/>
      <c r="AD45" s="1327"/>
      <c r="AE45" s="1327"/>
      <c r="AF45" s="1327"/>
      <c r="AG45" s="1327"/>
      <c r="AH45" s="1327"/>
      <c r="AI45" s="1327"/>
      <c r="AJ45" s="1328"/>
      <c r="AK45" s="809" t="s">
        <v>1685</v>
      </c>
      <c r="AM45" s="79"/>
      <c r="AN45" s="79" t="str">
        <f t="shared" si="1"/>
        <v>Группа потребителей</v>
      </c>
      <c r="AO45" s="79"/>
      <c r="AP45" s="79"/>
    </row>
    <row r="46" spans="1:42" ht="23.25" customHeight="1">
      <c r="A46" s="822" t="s">
        <v>218</v>
      </c>
      <c r="B46" s="822" t="s">
        <v>219</v>
      </c>
      <c r="C46" s="822" t="s">
        <v>220</v>
      </c>
      <c r="D46" s="822" t="s">
        <v>1695</v>
      </c>
      <c r="E46" s="1338"/>
      <c r="F46" s="1338"/>
      <c r="G46" s="1338"/>
      <c r="H46" s="1338"/>
      <c r="I46" s="1340"/>
      <c r="J46" s="1340"/>
      <c r="K46" s="1339" t="str">
        <f>J45&amp;".1"</f>
        <v>...1.1.1</v>
      </c>
      <c r="L46" s="823"/>
      <c r="P46" s="1259"/>
      <c r="Q46" s="1259"/>
      <c r="R46" s="222">
        <v>1</v>
      </c>
      <c r="S46" s="755" t="str">
        <f>$K46</f>
        <v>...1.1.1</v>
      </c>
      <c r="T46" s="853"/>
      <c r="U46" s="179"/>
      <c r="V46" s="1058"/>
      <c r="W46" s="1058"/>
      <c r="X46" s="1059"/>
      <c r="Y46" s="1335"/>
      <c r="Z46" s="1334" t="s">
        <v>67</v>
      </c>
      <c r="AA46" s="1335"/>
      <c r="AB46" s="1334" t="s">
        <v>67</v>
      </c>
      <c r="AC46" s="1054"/>
      <c r="AD46" s="1054"/>
      <c r="AE46" s="1056"/>
      <c r="AF46" s="1341"/>
      <c r="AG46" s="1133" t="s">
        <v>67</v>
      </c>
      <c r="AH46" s="1343"/>
      <c r="AI46" s="1133" t="s">
        <v>57</v>
      </c>
      <c r="AJ46" s="1082"/>
      <c r="AK46" s="143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7" t="e">
        <f ca="1">STRCHECKDATE(V47:AJ47)</f>
        <v>#NAME?</v>
      </c>
      <c r="AM46" s="79"/>
      <c r="AN46" s="79" t="str">
        <f t="shared" si="1"/>
        <v/>
      </c>
      <c r="AO46" s="79"/>
      <c r="AP46" s="79"/>
    </row>
    <row r="47" spans="1:42" ht="0" hidden="1" customHeight="1">
      <c r="A47" s="822" t="s">
        <v>218</v>
      </c>
      <c r="B47" s="822" t="s">
        <v>219</v>
      </c>
      <c r="C47" s="822" t="s">
        <v>220</v>
      </c>
      <c r="D47" s="822" t="s">
        <v>1695</v>
      </c>
      <c r="E47" s="1338"/>
      <c r="F47" s="1338"/>
      <c r="G47" s="1338"/>
      <c r="H47" s="1338"/>
      <c r="I47" s="1340"/>
      <c r="J47" s="1340"/>
      <c r="K47" s="1339"/>
      <c r="L47" s="823"/>
      <c r="P47" s="1259"/>
      <c r="Q47" s="1259"/>
      <c r="R47" s="222"/>
      <c r="S47" s="74"/>
      <c r="T47" s="179"/>
      <c r="U47" s="179"/>
      <c r="V47" s="1058"/>
      <c r="W47" s="1058"/>
      <c r="X47" s="1057" t="str">
        <f>Y46&amp;"-"&amp;AA46</f>
        <v>-</v>
      </c>
      <c r="Y47" s="1334"/>
      <c r="Z47" s="1334"/>
      <c r="AA47" s="1334"/>
      <c r="AB47" s="1334"/>
      <c r="AC47" s="1055"/>
      <c r="AD47" s="1055"/>
      <c r="AE47" s="1057" t="str">
        <f>AF46&amp;"-"&amp;AH46</f>
        <v>-</v>
      </c>
      <c r="AF47" s="1342"/>
      <c r="AG47" s="1133"/>
      <c r="AH47" s="1344"/>
      <c r="AI47" s="1133"/>
      <c r="AJ47" s="1083"/>
      <c r="AK47" s="1435"/>
      <c r="AM47" s="79"/>
      <c r="AN47" s="79" t="str">
        <f t="shared" si="1"/>
        <v/>
      </c>
      <c r="AO47" s="79"/>
      <c r="AP47" s="79"/>
    </row>
    <row r="48" spans="1:42" ht="21" customHeight="1">
      <c r="A48" s="822" t="s">
        <v>218</v>
      </c>
      <c r="B48" s="822" t="s">
        <v>219</v>
      </c>
      <c r="C48" s="822" t="s">
        <v>220</v>
      </c>
      <c r="D48" s="822" t="s">
        <v>1695</v>
      </c>
      <c r="E48" s="1338"/>
      <c r="F48" s="1338"/>
      <c r="G48" s="1338"/>
      <c r="H48" s="1338"/>
      <c r="I48" s="1340"/>
      <c r="J48" s="1339"/>
      <c r="K48" s="822"/>
      <c r="L48" s="823"/>
      <c r="P48" s="1259"/>
      <c r="Q48" s="1259"/>
      <c r="R48" s="221"/>
      <c r="S48" s="796"/>
      <c r="T48" s="174" t="s">
        <v>1686</v>
      </c>
      <c r="U48" s="228"/>
      <c r="V48" s="228"/>
      <c r="W48" s="228"/>
      <c r="X48" s="228"/>
      <c r="Y48" s="228"/>
      <c r="Z48" s="228"/>
      <c r="AA48" s="228"/>
      <c r="AB48" s="228"/>
      <c r="AC48" s="228"/>
      <c r="AD48" s="228"/>
      <c r="AE48" s="228"/>
      <c r="AF48" s="228"/>
      <c r="AG48" s="228"/>
      <c r="AH48" s="228"/>
      <c r="AI48" s="228"/>
      <c r="AJ48" s="228"/>
      <c r="AK48" s="782" t="s">
        <v>1687</v>
      </c>
      <c r="AM48" s="79"/>
      <c r="AN48" s="79" t="str">
        <f t="shared" si="1"/>
        <v>Добавить значение признака дифференциации</v>
      </c>
      <c r="AO48" s="79"/>
      <c r="AP48" s="79"/>
    </row>
    <row r="49" spans="1:42" ht="21" customHeight="1">
      <c r="A49" s="822" t="s">
        <v>218</v>
      </c>
      <c r="B49" s="822" t="s">
        <v>219</v>
      </c>
      <c r="C49" s="822" t="s">
        <v>220</v>
      </c>
      <c r="D49" s="822" t="s">
        <v>1695</v>
      </c>
      <c r="E49" s="1338"/>
      <c r="F49" s="1338"/>
      <c r="G49" s="1338"/>
      <c r="H49" s="1338"/>
      <c r="I49" s="1339"/>
      <c r="J49" s="822"/>
      <c r="K49" s="822"/>
      <c r="L49" s="823"/>
      <c r="P49" s="1259"/>
      <c r="Q49" s="127"/>
      <c r="R49" s="221"/>
      <c r="S49" s="796"/>
      <c r="T49" s="226" t="s">
        <v>1477</v>
      </c>
      <c r="U49" s="228"/>
      <c r="V49" s="228"/>
      <c r="W49" s="228"/>
      <c r="X49" s="228"/>
      <c r="Y49" s="228"/>
      <c r="Z49" s="228"/>
      <c r="AA49" s="228"/>
      <c r="AB49" s="205"/>
      <c r="AC49" s="228"/>
      <c r="AD49" s="228"/>
      <c r="AE49" s="228"/>
      <c r="AF49" s="228"/>
      <c r="AG49" s="228"/>
      <c r="AH49" s="228"/>
      <c r="AI49" s="205"/>
      <c r="AJ49" s="228"/>
      <c r="AK49" s="854"/>
      <c r="AM49" s="79"/>
      <c r="AN49" s="79" t="str">
        <f t="shared" si="1"/>
        <v>Добавить группу потребителей</v>
      </c>
      <c r="AO49" s="79"/>
      <c r="AP49" s="79"/>
    </row>
    <row r="50" spans="1:42" ht="21" customHeight="1">
      <c r="A50" s="822" t="s">
        <v>218</v>
      </c>
      <c r="B50" s="822" t="s">
        <v>219</v>
      </c>
      <c r="C50" s="822" t="s">
        <v>220</v>
      </c>
      <c r="D50" s="822" t="s">
        <v>1695</v>
      </c>
      <c r="E50" s="1338"/>
      <c r="F50" s="1338"/>
      <c r="G50" s="1338"/>
      <c r="H50" s="1337"/>
      <c r="I50" s="822"/>
      <c r="J50" s="822"/>
      <c r="K50" s="822"/>
      <c r="L50" s="823"/>
      <c r="M50" s="452"/>
      <c r="N50" s="452"/>
      <c r="O50" s="72"/>
      <c r="P50" s="43"/>
      <c r="Q50" s="231"/>
      <c r="R50" s="220"/>
      <c r="S50" s="796"/>
      <c r="T50" s="113" t="s">
        <v>1688</v>
      </c>
      <c r="U50" s="228"/>
      <c r="V50" s="228"/>
      <c r="W50" s="228"/>
      <c r="X50" s="228"/>
      <c r="Y50" s="228"/>
      <c r="Z50" s="228"/>
      <c r="AA50" s="228"/>
      <c r="AB50" s="205"/>
      <c r="AC50" s="228"/>
      <c r="AD50" s="228"/>
      <c r="AE50" s="228"/>
      <c r="AF50" s="228"/>
      <c r="AG50" s="228"/>
      <c r="AH50" s="228"/>
      <c r="AI50" s="205"/>
      <c r="AJ50" s="228"/>
      <c r="AK50" s="182"/>
      <c r="AM50" s="79"/>
      <c r="AN50" s="79" t="str">
        <f t="shared" si="1"/>
        <v>Добавить наименование признака дифференциации</v>
      </c>
      <c r="AO50" s="79"/>
      <c r="AP50" s="79"/>
    </row>
    <row r="51" spans="1:42" s="77" customFormat="1" ht="0.75" customHeight="1">
      <c r="A51" s="150" t="s">
        <v>218</v>
      </c>
      <c r="B51" s="150" t="s">
        <v>219</v>
      </c>
      <c r="C51" s="150"/>
      <c r="D51" s="150"/>
      <c r="E51" s="1338"/>
      <c r="F51" s="1337"/>
      <c r="G51" s="150"/>
      <c r="H51" s="150"/>
      <c r="I51" s="150"/>
      <c r="J51" s="150"/>
      <c r="K51" s="150"/>
      <c r="L51" s="373"/>
      <c r="M51" s="815"/>
      <c r="N51" s="815"/>
      <c r="P51" s="111"/>
      <c r="Q51" s="811"/>
      <c r="R51" s="111"/>
      <c r="S51" s="816"/>
      <c r="T51" s="818" t="s">
        <v>1438</v>
      </c>
      <c r="U51" s="338"/>
      <c r="V51" s="338"/>
      <c r="W51" s="338"/>
      <c r="X51" s="338"/>
      <c r="Y51" s="338"/>
      <c r="Z51" s="338"/>
      <c r="AA51" s="338"/>
      <c r="AB51" s="338"/>
      <c r="AC51" s="338"/>
      <c r="AD51" s="338"/>
      <c r="AE51" s="338"/>
      <c r="AF51" s="338"/>
      <c r="AG51" s="338"/>
      <c r="AH51" s="338"/>
      <c r="AI51" s="338"/>
      <c r="AJ51" s="338"/>
      <c r="AK51" s="338"/>
      <c r="AM51" s="79"/>
      <c r="AN51" s="79" t="str">
        <f t="shared" si="1"/>
        <v>Добавить централизованную систему для дифференциации</v>
      </c>
      <c r="AO51" s="79"/>
      <c r="AP51" s="79"/>
    </row>
    <row r="52" spans="1:42" s="77" customFormat="1" ht="0.75" customHeight="1">
      <c r="A52" s="150" t="s">
        <v>218</v>
      </c>
      <c r="B52" s="150"/>
      <c r="C52" s="150"/>
      <c r="D52" s="150"/>
      <c r="E52" s="1337"/>
      <c r="F52" s="150"/>
      <c r="G52" s="150"/>
      <c r="H52" s="150"/>
      <c r="I52" s="150"/>
      <c r="J52" s="150"/>
      <c r="K52" s="150"/>
      <c r="L52" s="373"/>
      <c r="M52" s="815"/>
      <c r="N52" s="815"/>
      <c r="P52" s="111"/>
      <c r="Q52" s="811"/>
      <c r="R52" s="111"/>
      <c r="S52" s="816"/>
      <c r="T52" s="818" t="s">
        <v>1439</v>
      </c>
      <c r="U52" s="338"/>
      <c r="V52" s="338"/>
      <c r="W52" s="338"/>
      <c r="X52" s="338"/>
      <c r="Y52" s="338"/>
      <c r="Z52" s="338"/>
      <c r="AA52" s="338"/>
      <c r="AB52" s="338"/>
      <c r="AC52" s="338"/>
      <c r="AD52" s="338"/>
      <c r="AE52" s="338"/>
      <c r="AF52" s="338"/>
      <c r="AG52" s="338"/>
      <c r="AH52" s="338"/>
      <c r="AI52" s="338"/>
      <c r="AJ52" s="338"/>
      <c r="AK52" s="338"/>
      <c r="AM52" s="79"/>
      <c r="AN52" s="79" t="str">
        <f t="shared" si="1"/>
        <v>Добавить территорию для дифференциации</v>
      </c>
      <c r="AO52" s="79"/>
      <c r="AP52" s="79"/>
    </row>
    <row r="53" spans="1:42" s="77" customFormat="1" ht="0.75" customHeight="1">
      <c r="A53" s="150"/>
      <c r="B53" s="150"/>
      <c r="C53" s="150"/>
      <c r="D53" s="150"/>
      <c r="E53" s="150"/>
      <c r="F53" s="150"/>
      <c r="G53" s="150"/>
      <c r="H53" s="150"/>
      <c r="I53" s="150"/>
      <c r="J53" s="150"/>
      <c r="K53" s="150"/>
      <c r="L53" s="373"/>
      <c r="M53" s="815"/>
      <c r="N53" s="815"/>
      <c r="P53" s="111"/>
      <c r="Q53" s="811"/>
      <c r="R53" s="111"/>
      <c r="S53" s="816"/>
      <c r="T53" s="818" t="s">
        <v>1440</v>
      </c>
      <c r="U53" s="338"/>
      <c r="V53" s="338"/>
      <c r="W53" s="338"/>
      <c r="X53" s="338"/>
      <c r="Y53" s="338"/>
      <c r="Z53" s="338"/>
      <c r="AA53" s="338"/>
      <c r="AB53" s="338"/>
      <c r="AC53" s="338"/>
      <c r="AD53" s="338"/>
      <c r="AE53" s="338"/>
      <c r="AF53" s="338"/>
      <c r="AG53" s="338"/>
      <c r="AH53" s="338"/>
      <c r="AI53" s="338"/>
      <c r="AJ53" s="338"/>
      <c r="AK53" s="338"/>
      <c r="AM53" s="79"/>
      <c r="AN53" s="79" t="str">
        <f t="shared" si="1"/>
        <v>Добавить наименование тарифа</v>
      </c>
      <c r="AO53" s="79"/>
      <c r="AP53" s="79"/>
    </row>
    <row r="54" spans="1:42" ht="11.25" hidden="1" customHeight="1">
      <c r="M54" s="72"/>
      <c r="N54" s="72"/>
      <c r="O54" s="72"/>
      <c r="P54" s="24"/>
      <c r="Q54" s="24"/>
      <c r="R54" s="24"/>
      <c r="S54" s="24"/>
      <c r="AL54" s="24"/>
      <c r="AM54" s="24"/>
      <c r="AN54" s="24"/>
      <c r="AO54" s="24"/>
      <c r="AP54" s="24"/>
    </row>
    <row r="55" spans="1:42" ht="14.25" hidden="1" customHeight="1">
      <c r="O55" s="72"/>
      <c r="S55" s="210" t="s">
        <v>1510</v>
      </c>
      <c r="T55" s="1336" t="s">
        <v>1696</v>
      </c>
      <c r="U55" s="1336"/>
      <c r="V55" s="1336"/>
      <c r="W55" s="1336"/>
      <c r="X55" s="1336"/>
      <c r="Y55" s="1336"/>
      <c r="Z55" s="1336"/>
      <c r="AA55" s="1336"/>
      <c r="AB55" s="1336"/>
      <c r="AC55" s="1336"/>
      <c r="AD55" s="1336"/>
      <c r="AE55" s="1336"/>
      <c r="AF55" s="1336"/>
      <c r="AG55" s="1336"/>
      <c r="AH55" s="1336"/>
      <c r="AI55" s="1336"/>
      <c r="AJ55" s="1336"/>
      <c r="AK55" s="1336"/>
    </row>
    <row r="56" spans="1:42" ht="14.25" hidden="1" customHeight="1">
      <c r="O56" s="72"/>
    </row>
    <row r="57" spans="1:42" ht="14.25" hidden="1" customHeight="1">
      <c r="O57" s="72"/>
      <c r="S57" s="210" t="s">
        <v>1510</v>
      </c>
      <c r="T57" s="1336" t="s">
        <v>1697</v>
      </c>
      <c r="U57" s="1336"/>
      <c r="V57" s="1336"/>
      <c r="W57" s="1336"/>
      <c r="X57" s="1336"/>
      <c r="Y57" s="1336"/>
      <c r="Z57" s="1336"/>
      <c r="AA57" s="1336"/>
      <c r="AB57" s="1336"/>
      <c r="AC57" s="1336"/>
      <c r="AD57" s="1336"/>
      <c r="AE57" s="1336"/>
      <c r="AF57" s="1336"/>
      <c r="AG57" s="1336"/>
      <c r="AH57" s="1336"/>
      <c r="AI57" s="1336"/>
      <c r="AJ57" s="1336"/>
      <c r="AK57" s="1336"/>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22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22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22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22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22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J5 AC5:AI5 AC44:AI44 AJ44" xr:uid="{00000000-0002-0000-22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22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22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716A06-5EF1-A45C-72C8-EBF53C03DE39}">
  <sheetPr>
    <tabColor theme="6" tint="0.39997558519241921"/>
  </sheetPr>
  <dimension ref="A1:AP57"/>
  <sheetViews>
    <sheetView showGridLines="0" topLeftCell="P23" zoomScale="90" workbookViewId="0"/>
  </sheetViews>
  <sheetFormatPr defaultColWidth="10.5703125" defaultRowHeight="14.25" customHeight="1"/>
  <cols>
    <col min="1" max="1" width="10.5703125" style="72" hidden="1"/>
    <col min="2" max="2" width="11" style="72" hidden="1" customWidth="1"/>
    <col min="3" max="3" width="10.5703125" style="72" hidden="1"/>
    <col min="4" max="4" width="11.85546875" style="72" hidden="1" customWidth="1"/>
    <col min="5" max="5" width="10" style="72" hidden="1" customWidth="1"/>
    <col min="6" max="6" width="8.7109375" style="72" hidden="1" customWidth="1"/>
    <col min="7" max="7" width="7.5703125" style="72" hidden="1" customWidth="1"/>
    <col min="8" max="8" width="11.42578125" style="72" hidden="1" customWidth="1"/>
    <col min="9" max="9" width="14.140625" style="72" hidden="1" customWidth="1"/>
    <col min="10" max="10" width="9.85546875" style="72" hidden="1" customWidth="1"/>
    <col min="11" max="11" width="14.7109375" style="72" hidden="1" customWidth="1"/>
    <col min="12" max="12" width="19.140625" style="388" hidden="1" customWidth="1"/>
    <col min="13" max="14" width="12.28515625" style="541" hidden="1" customWidth="1"/>
    <col min="15" max="15" width="23.42578125" style="541" hidden="1" customWidth="1"/>
    <col min="16" max="16" width="3.7109375" style="42" customWidth="1"/>
    <col min="17" max="18" width="3.7109375" style="37" customWidth="1"/>
    <col min="19" max="19" width="12.7109375" style="368" customWidth="1"/>
    <col min="20" max="20" width="35.7109375" style="24" customWidth="1"/>
    <col min="21" max="21" width="0.140625" style="24" customWidth="1"/>
    <col min="22" max="24" width="24.7109375" style="24" hidden="1" customWidth="1"/>
    <col min="25" max="25" width="11.7109375" style="24" hidden="1" customWidth="1"/>
    <col min="26" max="26" width="3.7109375" style="24" hidden="1" customWidth="1"/>
    <col min="27" max="27" width="11.7109375" style="24" hidden="1" customWidth="1"/>
    <col min="28" max="28" width="8.5703125" style="24" hidden="1" customWidth="1"/>
    <col min="29" max="31" width="24.7109375" style="24" customWidth="1"/>
    <col min="32" max="32" width="11.7109375" style="24" customWidth="1"/>
    <col min="33" max="33" width="3.7109375" style="24" customWidth="1"/>
    <col min="34" max="34" width="11.7109375" style="24" customWidth="1"/>
    <col min="35" max="35" width="8.5703125" style="24" hidden="1" customWidth="1"/>
    <col min="36" max="36" width="4.7109375" style="24" customWidth="1"/>
    <col min="37" max="37" width="115.7109375" style="24" customWidth="1"/>
    <col min="38" max="39" width="10.5703125" style="77"/>
    <col min="40" max="40" width="11.140625" style="77" customWidth="1"/>
    <col min="41" max="42" width="10.5703125" style="77"/>
  </cols>
  <sheetData>
    <row r="1" spans="1:42" ht="14.25" hidden="1" customHeight="1"/>
    <row r="2" spans="1:42" ht="23.25" hidden="1" customHeight="1">
      <c r="A2" s="822"/>
      <c r="B2" s="822"/>
      <c r="C2" s="822"/>
      <c r="D2" s="822"/>
      <c r="E2" s="1337">
        <v>1</v>
      </c>
      <c r="F2" s="822"/>
      <c r="G2" s="822"/>
      <c r="H2" s="822"/>
      <c r="I2" s="822"/>
      <c r="J2" s="822"/>
      <c r="K2" s="822"/>
      <c r="L2" s="823"/>
      <c r="M2" s="452"/>
      <c r="N2" s="452"/>
      <c r="O2" s="452"/>
      <c r="Q2" s="43"/>
      <c r="R2" s="220"/>
      <c r="S2" s="755" t="e">
        <f>INDEX(PT_DIFFERENTIATION_NUM_NTAR,MATCH(A2,PT_DIFFERENTIATION_NTAR_ID,0))</f>
        <v>#N/A</v>
      </c>
      <c r="T2" s="76" t="s">
        <v>124</v>
      </c>
      <c r="U2" s="179"/>
      <c r="V2" s="1331"/>
      <c r="W2" s="1332"/>
      <c r="X2" s="1332"/>
      <c r="Y2" s="1332"/>
      <c r="Z2" s="1332"/>
      <c r="AA2" s="1332"/>
      <c r="AB2" s="1333"/>
      <c r="AC2" s="1331" t="e">
        <f>INDEX(PT_DIFFERENTIATION_NTAR,MATCH(A2,PT_DIFFERENTIATION_NTAR_ID,0))</f>
        <v>#N/A</v>
      </c>
      <c r="AD2" s="1332"/>
      <c r="AE2" s="1332"/>
      <c r="AF2" s="1332"/>
      <c r="AG2" s="1332"/>
      <c r="AH2" s="1332"/>
      <c r="AI2" s="1332"/>
      <c r="AJ2" s="1333"/>
      <c r="AK2" s="7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9"/>
      <c r="AN2" s="79" t="str">
        <f t="shared" ref="AN2:AN13" si="0">IF(T2="","",T2)</f>
        <v>Наименование тарифа</v>
      </c>
      <c r="AO2" s="79"/>
      <c r="AP2" s="79"/>
    </row>
    <row r="3" spans="1:42" ht="23.25" hidden="1" customHeight="1">
      <c r="A3" s="822"/>
      <c r="B3" s="822"/>
      <c r="C3" s="822"/>
      <c r="D3" s="822"/>
      <c r="E3" s="1338"/>
      <c r="F3" s="1337">
        <v>1</v>
      </c>
      <c r="G3" s="822"/>
      <c r="H3" s="822"/>
      <c r="I3" s="822"/>
      <c r="J3" s="822"/>
      <c r="K3" s="822"/>
      <c r="L3" s="823"/>
      <c r="M3" s="452"/>
      <c r="N3" s="452"/>
      <c r="O3" s="452"/>
      <c r="P3" s="68"/>
      <c r="Q3" s="217"/>
      <c r="R3" s="218"/>
      <c r="S3" s="755" t="e">
        <f>INDEX(PT_DIFFERENTIATION_NUM_TER,MATCH(B3,PT_DIFFERENTIATION_TER_ID,0))</f>
        <v>#N/A</v>
      </c>
      <c r="T3" s="187" t="s">
        <v>1462</v>
      </c>
      <c r="U3" s="179"/>
      <c r="V3" s="1331"/>
      <c r="W3" s="1332"/>
      <c r="X3" s="1332"/>
      <c r="Y3" s="1332"/>
      <c r="Z3" s="1332"/>
      <c r="AA3" s="1332"/>
      <c r="AB3" s="1333"/>
      <c r="AC3" s="1331" t="e">
        <f>INDEX(PT_DIFFERENTIATION_TER,MATCH(B3,PT_DIFFERENTIATION_TER_ID,0))</f>
        <v>#N/A</v>
      </c>
      <c r="AD3" s="1332"/>
      <c r="AE3" s="1332"/>
      <c r="AF3" s="1332"/>
      <c r="AG3" s="1332"/>
      <c r="AH3" s="1332"/>
      <c r="AI3" s="1332"/>
      <c r="AJ3" s="1333"/>
      <c r="AK3" s="782" t="s">
        <v>1463</v>
      </c>
      <c r="AM3" s="79"/>
      <c r="AN3" s="79" t="str">
        <f t="shared" si="0"/>
        <v>Территория действия тарифа</v>
      </c>
      <c r="AO3" s="79"/>
      <c r="AP3" s="79"/>
    </row>
    <row r="4" spans="1:42" ht="23.25" hidden="1" customHeight="1">
      <c r="A4" s="822"/>
      <c r="B4" s="822"/>
      <c r="C4" s="822"/>
      <c r="D4" s="822"/>
      <c r="E4" s="1338"/>
      <c r="F4" s="1338"/>
      <c r="G4" s="1337">
        <v>1</v>
      </c>
      <c r="H4" s="822"/>
      <c r="I4" s="822"/>
      <c r="J4" s="822"/>
      <c r="K4" s="822"/>
      <c r="L4" s="823"/>
      <c r="M4" s="452"/>
      <c r="N4" s="452"/>
      <c r="O4" s="452"/>
      <c r="P4" s="219"/>
      <c r="Q4" s="217"/>
      <c r="R4" s="218"/>
      <c r="S4" s="755" t="e">
        <f>INDEX(PT_DIFFERENTIATION_NUM_CS,MATCH(C4,PT_DIFFERENTIATION_CS_ID,0))</f>
        <v>#N/A</v>
      </c>
      <c r="T4" s="188" t="s">
        <v>1681</v>
      </c>
      <c r="U4" s="179"/>
      <c r="V4" s="1331"/>
      <c r="W4" s="1332"/>
      <c r="X4" s="1332"/>
      <c r="Y4" s="1332"/>
      <c r="Z4" s="1332"/>
      <c r="AA4" s="1332"/>
      <c r="AB4" s="1333"/>
      <c r="AC4" s="1331" t="e">
        <f>INDEX(PT_DIFFERENTIATION_CS,MATCH(C4,PT_DIFFERENTIATION_CS_ID,0))</f>
        <v>#N/A</v>
      </c>
      <c r="AD4" s="1332"/>
      <c r="AE4" s="1332"/>
      <c r="AF4" s="1332"/>
      <c r="AG4" s="1332"/>
      <c r="AH4" s="1332"/>
      <c r="AI4" s="1332"/>
      <c r="AJ4" s="1333"/>
      <c r="AK4" s="782" t="s">
        <v>1682</v>
      </c>
      <c r="AM4" s="79"/>
      <c r="AN4" s="79" t="str">
        <f t="shared" si="0"/>
        <v>Наименование централизованной системы холодного водоснабжения</v>
      </c>
      <c r="AO4" s="79"/>
      <c r="AP4" s="79"/>
    </row>
    <row r="5" spans="1:42" ht="23.25" hidden="1" customHeight="1">
      <c r="A5" s="822"/>
      <c r="B5" s="822"/>
      <c r="C5" s="822"/>
      <c r="D5" s="822"/>
      <c r="E5" s="1338"/>
      <c r="F5" s="1338"/>
      <c r="G5" s="1338"/>
      <c r="H5" s="1338"/>
      <c r="I5" s="1339" t="e">
        <f>S4&amp;".1"</f>
        <v>#N/A</v>
      </c>
      <c r="J5" s="822"/>
      <c r="K5" s="822"/>
      <c r="L5" s="823"/>
      <c r="P5" s="1259">
        <v>1</v>
      </c>
      <c r="Q5" s="127"/>
      <c r="R5" s="221"/>
      <c r="S5" s="755" t="e">
        <f>$I5</f>
        <v>#N/A</v>
      </c>
      <c r="T5" s="172" t="s">
        <v>1683</v>
      </c>
      <c r="U5" s="179"/>
      <c r="V5" s="1429"/>
      <c r="W5" s="1430"/>
      <c r="X5" s="1430"/>
      <c r="Y5" s="1430"/>
      <c r="Z5" s="1430"/>
      <c r="AA5" s="1430"/>
      <c r="AB5" s="1431"/>
      <c r="AC5" s="1432"/>
      <c r="AD5" s="1433"/>
      <c r="AE5" s="1433"/>
      <c r="AF5" s="1433"/>
      <c r="AG5" s="1433"/>
      <c r="AH5" s="1433"/>
      <c r="AI5" s="1433"/>
      <c r="AJ5" s="1434"/>
      <c r="AK5" s="782" t="s">
        <v>1684</v>
      </c>
      <c r="AM5" s="79"/>
      <c r="AN5" s="79" t="str">
        <f t="shared" si="0"/>
        <v>Наименование признака дифференциации</v>
      </c>
      <c r="AO5" s="79"/>
      <c r="AP5" s="79"/>
    </row>
    <row r="6" spans="1:42" ht="23.25" hidden="1" customHeight="1">
      <c r="A6" s="822"/>
      <c r="B6" s="822"/>
      <c r="C6" s="822"/>
      <c r="D6" s="822"/>
      <c r="E6" s="1338"/>
      <c r="F6" s="1338"/>
      <c r="G6" s="1338"/>
      <c r="H6" s="1338"/>
      <c r="I6" s="1340"/>
      <c r="J6" s="1339" t="e">
        <f>I5&amp;".1"</f>
        <v>#N/A</v>
      </c>
      <c r="K6" s="822"/>
      <c r="L6" s="823" t="s">
        <v>1471</v>
      </c>
      <c r="P6" s="1259"/>
      <c r="Q6" s="1259">
        <v>1</v>
      </c>
      <c r="R6" s="222"/>
      <c r="S6" s="755" t="e">
        <f>$J6</f>
        <v>#N/A</v>
      </c>
      <c r="T6" s="173" t="s">
        <v>1472</v>
      </c>
      <c r="U6" s="179"/>
      <c r="V6" s="1326"/>
      <c r="W6" s="1327"/>
      <c r="X6" s="1327"/>
      <c r="Y6" s="1327"/>
      <c r="Z6" s="1327"/>
      <c r="AA6" s="1327"/>
      <c r="AB6" s="1328"/>
      <c r="AC6" s="1326"/>
      <c r="AD6" s="1327"/>
      <c r="AE6" s="1327"/>
      <c r="AF6" s="1327"/>
      <c r="AG6" s="1327"/>
      <c r="AH6" s="1327"/>
      <c r="AI6" s="1327"/>
      <c r="AJ6" s="1328"/>
      <c r="AK6" s="809" t="s">
        <v>1685</v>
      </c>
      <c r="AM6" s="79"/>
      <c r="AN6" s="79" t="str">
        <f t="shared" si="0"/>
        <v>Группа потребителей</v>
      </c>
      <c r="AO6" s="79"/>
      <c r="AP6" s="79"/>
    </row>
    <row r="7" spans="1:42" ht="23.25" hidden="1" customHeight="1">
      <c r="A7" s="822"/>
      <c r="B7" s="822"/>
      <c r="C7" s="822"/>
      <c r="D7" s="822"/>
      <c r="E7" s="1338"/>
      <c r="F7" s="1338"/>
      <c r="G7" s="1338"/>
      <c r="H7" s="1338"/>
      <c r="I7" s="1340"/>
      <c r="J7" s="1340"/>
      <c r="K7" s="1339" t="e">
        <f>J6&amp;".1"</f>
        <v>#N/A</v>
      </c>
      <c r="L7" s="823"/>
      <c r="P7" s="1259"/>
      <c r="Q7" s="1259"/>
      <c r="R7" s="222">
        <v>1</v>
      </c>
      <c r="S7" s="755" t="e">
        <f>$K7</f>
        <v>#N/A</v>
      </c>
      <c r="T7" s="853"/>
      <c r="U7" s="179"/>
      <c r="V7" s="1054"/>
      <c r="W7" s="1054"/>
      <c r="X7" s="1056"/>
      <c r="Y7" s="1341"/>
      <c r="Z7" s="1133" t="s">
        <v>67</v>
      </c>
      <c r="AA7" s="1341"/>
      <c r="AB7" s="1133" t="s">
        <v>67</v>
      </c>
      <c r="AC7" s="1054"/>
      <c r="AD7" s="1054"/>
      <c r="AE7" s="1056"/>
      <c r="AF7" s="1341"/>
      <c r="AG7" s="1133" t="s">
        <v>67</v>
      </c>
      <c r="AH7" s="1343"/>
      <c r="AI7" s="1133" t="s">
        <v>67</v>
      </c>
      <c r="AJ7" s="1082"/>
      <c r="AK7" s="143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7" t="e">
        <f ca="1">STRCHECKDATE(V8:AJ8)</f>
        <v>#NAME?</v>
      </c>
      <c r="AM7" s="79"/>
      <c r="AN7" s="79" t="str">
        <f t="shared" si="0"/>
        <v/>
      </c>
      <c r="AO7" s="79"/>
      <c r="AP7" s="79"/>
    </row>
    <row r="8" spans="1:42" ht="0.75" hidden="1" customHeight="1">
      <c r="A8" s="822"/>
      <c r="B8" s="822"/>
      <c r="C8" s="822"/>
      <c r="D8" s="822"/>
      <c r="E8" s="1338"/>
      <c r="F8" s="1338"/>
      <c r="G8" s="1338"/>
      <c r="H8" s="1338"/>
      <c r="I8" s="1340"/>
      <c r="J8" s="1340"/>
      <c r="K8" s="1339"/>
      <c r="L8" s="823"/>
      <c r="P8" s="1259"/>
      <c r="Q8" s="1259"/>
      <c r="R8" s="222"/>
      <c r="S8" s="74"/>
      <c r="T8" s="179"/>
      <c r="U8" s="179"/>
      <c r="V8" s="1055"/>
      <c r="W8" s="1055"/>
      <c r="X8" s="1057" t="str">
        <f>Y7&amp;"-"&amp;AA7</f>
        <v>-</v>
      </c>
      <c r="Y8" s="1342"/>
      <c r="Z8" s="1133"/>
      <c r="AA8" s="1342"/>
      <c r="AB8" s="1133"/>
      <c r="AC8" s="1055"/>
      <c r="AD8" s="1055"/>
      <c r="AE8" s="1057" t="str">
        <f>AF7&amp;"-"&amp;AH7</f>
        <v>-</v>
      </c>
      <c r="AF8" s="1342"/>
      <c r="AG8" s="1133"/>
      <c r="AH8" s="1344"/>
      <c r="AI8" s="1133"/>
      <c r="AJ8" s="1083"/>
      <c r="AK8" s="1435"/>
      <c r="AM8" s="79"/>
      <c r="AN8" s="79" t="str">
        <f t="shared" si="0"/>
        <v/>
      </c>
      <c r="AO8" s="79"/>
      <c r="AP8" s="79"/>
    </row>
    <row r="9" spans="1:42" ht="21" hidden="1" customHeight="1">
      <c r="A9" s="822"/>
      <c r="B9" s="822"/>
      <c r="C9" s="822"/>
      <c r="D9" s="822"/>
      <c r="E9" s="1338"/>
      <c r="F9" s="1338"/>
      <c r="G9" s="1338"/>
      <c r="H9" s="1338"/>
      <c r="I9" s="1340"/>
      <c r="J9" s="1339"/>
      <c r="K9" s="822"/>
      <c r="L9" s="823"/>
      <c r="P9" s="1259"/>
      <c r="Q9" s="1259"/>
      <c r="R9" s="221"/>
      <c r="S9" s="796"/>
      <c r="T9" s="174" t="s">
        <v>1686</v>
      </c>
      <c r="U9" s="228"/>
      <c r="V9" s="228"/>
      <c r="W9" s="228"/>
      <c r="X9" s="228"/>
      <c r="Y9" s="228"/>
      <c r="Z9" s="228"/>
      <c r="AA9" s="228"/>
      <c r="AB9" s="228"/>
      <c r="AC9" s="228"/>
      <c r="AD9" s="228"/>
      <c r="AE9" s="228"/>
      <c r="AF9" s="228"/>
      <c r="AG9" s="228"/>
      <c r="AH9" s="228"/>
      <c r="AI9" s="228"/>
      <c r="AJ9" s="228"/>
      <c r="AK9" s="782" t="s">
        <v>1687</v>
      </c>
      <c r="AM9" s="79"/>
      <c r="AN9" s="79" t="str">
        <f t="shared" si="0"/>
        <v>Добавить значение признака дифференциации</v>
      </c>
      <c r="AO9" s="79"/>
      <c r="AP9" s="79"/>
    </row>
    <row r="10" spans="1:42" ht="21" hidden="1" customHeight="1">
      <c r="A10" s="822"/>
      <c r="B10" s="822"/>
      <c r="C10" s="822"/>
      <c r="D10" s="822"/>
      <c r="E10" s="1338"/>
      <c r="F10" s="1338"/>
      <c r="G10" s="1338"/>
      <c r="H10" s="1338"/>
      <c r="I10" s="1339"/>
      <c r="J10" s="822"/>
      <c r="K10" s="822"/>
      <c r="L10" s="823"/>
      <c r="P10" s="1259"/>
      <c r="Q10" s="127"/>
      <c r="R10" s="221"/>
      <c r="S10" s="796"/>
      <c r="T10" s="226" t="s">
        <v>1477</v>
      </c>
      <c r="U10" s="228"/>
      <c r="V10" s="228"/>
      <c r="W10" s="228"/>
      <c r="X10" s="228"/>
      <c r="Y10" s="228"/>
      <c r="Z10" s="228"/>
      <c r="AA10" s="228"/>
      <c r="AB10" s="205"/>
      <c r="AC10" s="228"/>
      <c r="AD10" s="228"/>
      <c r="AE10" s="228"/>
      <c r="AF10" s="228"/>
      <c r="AG10" s="228"/>
      <c r="AH10" s="228"/>
      <c r="AI10" s="205"/>
      <c r="AJ10" s="228"/>
      <c r="AK10" s="854"/>
      <c r="AM10" s="79"/>
      <c r="AN10" s="79" t="str">
        <f t="shared" si="0"/>
        <v>Добавить группу потребителей</v>
      </c>
      <c r="AO10" s="79"/>
      <c r="AP10" s="79"/>
    </row>
    <row r="11" spans="1:42" ht="21" hidden="1" customHeight="1">
      <c r="A11" s="822"/>
      <c r="B11" s="822"/>
      <c r="C11" s="822"/>
      <c r="D11" s="822"/>
      <c r="E11" s="1338"/>
      <c r="F11" s="1338"/>
      <c r="G11" s="1338"/>
      <c r="H11" s="1337"/>
      <c r="I11" s="822"/>
      <c r="J11" s="822"/>
      <c r="K11" s="822"/>
      <c r="L11" s="823"/>
      <c r="M11" s="452"/>
      <c r="N11" s="452"/>
      <c r="O11" s="72"/>
      <c r="P11" s="43"/>
      <c r="Q11" s="231"/>
      <c r="R11" s="220"/>
      <c r="S11" s="796"/>
      <c r="T11" s="113" t="s">
        <v>1688</v>
      </c>
      <c r="U11" s="228"/>
      <c r="V11" s="228"/>
      <c r="W11" s="228"/>
      <c r="X11" s="228"/>
      <c r="Y11" s="228"/>
      <c r="Z11" s="228"/>
      <c r="AA11" s="228"/>
      <c r="AB11" s="205"/>
      <c r="AC11" s="228"/>
      <c r="AD11" s="228"/>
      <c r="AE11" s="228"/>
      <c r="AF11" s="228"/>
      <c r="AG11" s="228"/>
      <c r="AH11" s="228"/>
      <c r="AI11" s="205"/>
      <c r="AJ11" s="228"/>
      <c r="AK11" s="182"/>
      <c r="AM11" s="79"/>
      <c r="AN11" s="79" t="str">
        <f t="shared" si="0"/>
        <v>Добавить наименование признака дифференциации</v>
      </c>
      <c r="AO11" s="79"/>
      <c r="AP11" s="79"/>
    </row>
    <row r="12" spans="1:42" s="77" customFormat="1" ht="0.75" hidden="1" customHeight="1">
      <c r="A12" s="150"/>
      <c r="B12" s="150"/>
      <c r="C12" s="150"/>
      <c r="D12" s="150"/>
      <c r="E12" s="1338"/>
      <c r="F12" s="1337"/>
      <c r="G12" s="150"/>
      <c r="H12" s="150"/>
      <c r="I12" s="150"/>
      <c r="J12" s="150"/>
      <c r="K12" s="150"/>
      <c r="L12" s="373"/>
      <c r="M12" s="815"/>
      <c r="N12" s="815"/>
      <c r="P12" s="111"/>
      <c r="Q12" s="811"/>
      <c r="R12" s="111"/>
      <c r="S12" s="816"/>
      <c r="T12" s="818" t="s">
        <v>1438</v>
      </c>
      <c r="U12" s="338"/>
      <c r="V12" s="338"/>
      <c r="W12" s="338"/>
      <c r="X12" s="338"/>
      <c r="Y12" s="338"/>
      <c r="Z12" s="338"/>
      <c r="AA12" s="338"/>
      <c r="AB12" s="338"/>
      <c r="AC12" s="338"/>
      <c r="AD12" s="338"/>
      <c r="AE12" s="338"/>
      <c r="AF12" s="338"/>
      <c r="AG12" s="338"/>
      <c r="AH12" s="338"/>
      <c r="AI12" s="338"/>
      <c r="AJ12" s="338"/>
      <c r="AK12" s="338"/>
      <c r="AM12" s="79"/>
      <c r="AN12" s="79" t="str">
        <f t="shared" si="0"/>
        <v>Добавить централизованную систему для дифференциации</v>
      </c>
      <c r="AO12" s="79"/>
      <c r="AP12" s="79"/>
    </row>
    <row r="13" spans="1:42" s="77" customFormat="1" ht="0.75" hidden="1" customHeight="1">
      <c r="A13" s="150"/>
      <c r="B13" s="150"/>
      <c r="C13" s="150"/>
      <c r="D13" s="150"/>
      <c r="E13" s="1337"/>
      <c r="F13" s="150"/>
      <c r="G13" s="150"/>
      <c r="H13" s="150"/>
      <c r="I13" s="150"/>
      <c r="J13" s="150"/>
      <c r="K13" s="150"/>
      <c r="L13" s="373"/>
      <c r="M13" s="815"/>
      <c r="N13" s="815"/>
      <c r="P13" s="111"/>
      <c r="Q13" s="811"/>
      <c r="R13" s="111"/>
      <c r="S13" s="816"/>
      <c r="T13" s="818" t="s">
        <v>1439</v>
      </c>
      <c r="U13" s="338"/>
      <c r="V13" s="338"/>
      <c r="W13" s="338"/>
      <c r="X13" s="338"/>
      <c r="Y13" s="338"/>
      <c r="Z13" s="338"/>
      <c r="AA13" s="338"/>
      <c r="AB13" s="338"/>
      <c r="AC13" s="338"/>
      <c r="AD13" s="338"/>
      <c r="AE13" s="338"/>
      <c r="AF13" s="338"/>
      <c r="AG13" s="338"/>
      <c r="AH13" s="338"/>
      <c r="AI13" s="338"/>
      <c r="AJ13" s="338"/>
      <c r="AK13" s="338"/>
      <c r="AM13" s="79"/>
      <c r="AN13" s="79" t="str">
        <f t="shared" si="0"/>
        <v>Добавить территорию для дифференциации</v>
      </c>
      <c r="AO13" s="79"/>
      <c r="AP13" s="79"/>
    </row>
    <row r="14" spans="1:42" ht="14.25" hidden="1" customHeight="1"/>
    <row r="15" spans="1:42" ht="14.25" hidden="1" customHeight="1">
      <c r="AC15" s="1058"/>
      <c r="AD15" s="1058"/>
      <c r="AE15" s="1059"/>
      <c r="AF15" s="1335"/>
      <c r="AG15" s="1334" t="s">
        <v>67</v>
      </c>
      <c r="AH15" s="1335"/>
      <c r="AI15" s="1334" t="s">
        <v>67</v>
      </c>
    </row>
    <row r="16" spans="1:42" ht="14.25" hidden="1" customHeight="1">
      <c r="AC16" s="1058"/>
      <c r="AD16" s="1058"/>
      <c r="AE16" s="1057" t="str">
        <f>AF15&amp;"-"&amp;AH15</f>
        <v>-</v>
      </c>
      <c r="AF16" s="1334"/>
      <c r="AG16" s="1334"/>
      <c r="AH16" s="1334"/>
      <c r="AI16" s="1334"/>
    </row>
    <row r="17" spans="1:42" ht="14.25" hidden="1" customHeight="1"/>
    <row r="18" spans="1:42" s="72" customFormat="1" ht="22.5" hidden="1" customHeight="1">
      <c r="L18" s="388"/>
      <c r="M18" s="541"/>
      <c r="N18" s="541"/>
      <c r="O18" s="824" t="s">
        <v>1479</v>
      </c>
      <c r="P18" s="541"/>
      <c r="Q18" s="825"/>
      <c r="R18" s="825"/>
      <c r="S18" s="452"/>
      <c r="Y18" s="824"/>
      <c r="AA18" s="824"/>
      <c r="AF18" s="824"/>
      <c r="AH18" s="824"/>
      <c r="AL18" s="77"/>
      <c r="AM18" s="77"/>
      <c r="AN18" s="77"/>
      <c r="AO18" s="77"/>
      <c r="AP18" s="77"/>
    </row>
    <row r="19" spans="1:42" s="72" customFormat="1" ht="14.25" hidden="1" customHeight="1">
      <c r="L19" s="388"/>
      <c r="M19" s="541"/>
      <c r="N19" s="541"/>
      <c r="O19" s="541"/>
      <c r="P19" s="541"/>
      <c r="Q19" s="825"/>
      <c r="R19" s="825"/>
      <c r="S19" s="452"/>
      <c r="AL19" s="77"/>
      <c r="AM19" s="77"/>
      <c r="AN19" s="77"/>
      <c r="AO19" s="77"/>
      <c r="AP19" s="77"/>
    </row>
    <row r="20" spans="1:42" s="72" customFormat="1" ht="12" hidden="1" customHeight="1">
      <c r="L20" s="388"/>
      <c r="M20" s="541"/>
      <c r="N20" s="541"/>
      <c r="O20" s="823" t="s">
        <v>1480</v>
      </c>
      <c r="P20" s="541"/>
      <c r="Q20" s="855"/>
      <c r="R20" s="855"/>
      <c r="S20" s="452"/>
      <c r="T20" s="72" t="s">
        <v>1481</v>
      </c>
      <c r="Z20" s="91" t="s">
        <v>1482</v>
      </c>
      <c r="AB20" s="91" t="s">
        <v>1483</v>
      </c>
      <c r="AC20" s="72" t="s">
        <v>1481</v>
      </c>
      <c r="AG20" s="91" t="s">
        <v>1484</v>
      </c>
      <c r="AI20" s="91" t="s">
        <v>1483</v>
      </c>
    </row>
    <row r="21" spans="1:42" ht="14.25" hidden="1" customHeight="1">
      <c r="O21" s="823"/>
    </row>
    <row r="22" spans="1:42" ht="14.25" hidden="1" customHeight="1">
      <c r="O22" s="823"/>
    </row>
    <row r="23" spans="1:42" ht="14.25" customHeight="1">
      <c r="Q23" s="36"/>
      <c r="R23" s="36"/>
      <c r="S23" s="793"/>
      <c r="T23" s="25"/>
      <c r="U23" s="25"/>
    </row>
    <row r="24" spans="1:42" ht="32.25" customHeight="1">
      <c r="Q24" s="36"/>
      <c r="R24" s="36"/>
      <c r="S24" s="1181"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1181"/>
      <c r="U24" s="1181"/>
      <c r="V24" s="1181"/>
      <c r="W24" s="1181"/>
      <c r="X24" s="1181"/>
      <c r="Y24" s="1181"/>
      <c r="Z24" s="1181"/>
      <c r="AA24" s="1181"/>
      <c r="AB24" s="1181"/>
      <c r="AC24" s="1181"/>
      <c r="AD24" s="1181"/>
      <c r="AE24" s="1181"/>
      <c r="AF24" s="1181"/>
      <c r="AG24" s="1181"/>
      <c r="AH24" s="1181"/>
      <c r="AI24" s="69"/>
    </row>
    <row r="25" spans="1:42" ht="14.25" customHeight="1">
      <c r="Q25" s="36"/>
      <c r="R25" s="36"/>
      <c r="S25" s="1204" t="str">
        <f>IF(org=0,"Не определено",org)</f>
        <v>ООО "ТЕПЛО ПЛЮС"</v>
      </c>
      <c r="T25" s="1204"/>
      <c r="U25" s="1204"/>
      <c r="V25" s="1204"/>
      <c r="W25" s="1204"/>
      <c r="X25" s="1204"/>
      <c r="Y25" s="1204"/>
      <c r="Z25" s="1204"/>
      <c r="AA25" s="1204"/>
      <c r="AB25" s="1204"/>
      <c r="AC25" s="1204"/>
      <c r="AD25" s="1204"/>
      <c r="AE25" s="1204"/>
      <c r="AF25" s="1204"/>
      <c r="AG25" s="1204"/>
      <c r="AH25" s="1204"/>
      <c r="AI25" s="69"/>
    </row>
    <row r="26" spans="1:42" ht="14.25" hidden="1" customHeight="1">
      <c r="Q26" s="36"/>
      <c r="R26" s="36"/>
      <c r="S26" s="793"/>
      <c r="T26" s="25"/>
      <c r="U26" s="25"/>
      <c r="V26" s="202"/>
      <c r="W26" s="202"/>
      <c r="X26" s="202"/>
      <c r="Y26" s="202"/>
      <c r="Z26" s="202"/>
      <c r="AA26" s="202"/>
      <c r="AB26" s="202"/>
      <c r="AC26" s="202"/>
      <c r="AD26" s="202"/>
      <c r="AE26" s="202"/>
      <c r="AF26" s="202"/>
      <c r="AG26" s="202"/>
      <c r="AH26" s="202"/>
      <c r="AI26" s="202"/>
    </row>
    <row r="27" spans="1:42" s="44" customFormat="1" ht="25.5" hidden="1" customHeight="1">
      <c r="A27" s="91"/>
      <c r="B27" s="91"/>
      <c r="C27" s="91"/>
      <c r="D27" s="91"/>
      <c r="E27" s="91"/>
      <c r="F27" s="91"/>
      <c r="G27" s="91"/>
      <c r="H27" s="91"/>
      <c r="I27" s="91"/>
      <c r="J27" s="91"/>
      <c r="K27" s="91"/>
      <c r="L27" s="823"/>
      <c r="M27" s="91"/>
      <c r="N27" s="91"/>
      <c r="O27" s="91"/>
      <c r="S27" s="1329" t="s">
        <v>39</v>
      </c>
      <c r="T27" s="1329"/>
      <c r="U27" s="826"/>
      <c r="V27" s="1330" t="str">
        <f>IF(TITLE_NAME_OR_PR_CHANGE="",IF(TITLE_NAME_OR_PR="","",TITLE_NAME_OR_PR),TITLE_NAME_OR_PR_CHANGE)</f>
        <v/>
      </c>
      <c r="W27" s="1330"/>
      <c r="X27" s="1330"/>
      <c r="Y27" s="1330"/>
      <c r="Z27" s="1330"/>
      <c r="AA27" s="1330"/>
      <c r="AB27" s="24"/>
      <c r="AC27" s="1330" t="str">
        <f>IF(TITLE_NAME_OR_PR_CHANGE="",IF(TITLE_NAME_OR_PR="","",TITLE_NAME_OR_PR),TITLE_NAME_OR_PR_CHANGE)</f>
        <v/>
      </c>
      <c r="AD27" s="1330"/>
      <c r="AE27" s="1330"/>
      <c r="AF27" s="1330"/>
      <c r="AG27" s="1330"/>
      <c r="AH27" s="1330"/>
      <c r="AI27" s="24"/>
      <c r="AJ27" s="24"/>
      <c r="AK27" s="171"/>
      <c r="AL27" s="79"/>
      <c r="AM27" s="79"/>
      <c r="AN27" s="79"/>
      <c r="AO27" s="79"/>
      <c r="AP27" s="79"/>
    </row>
    <row r="28" spans="1:42" s="44" customFormat="1" ht="18.75" hidden="1" customHeight="1">
      <c r="A28" s="91"/>
      <c r="B28" s="91"/>
      <c r="C28" s="91"/>
      <c r="D28" s="91"/>
      <c r="E28" s="91"/>
      <c r="F28" s="91"/>
      <c r="G28" s="91"/>
      <c r="H28" s="91"/>
      <c r="I28" s="91"/>
      <c r="J28" s="91"/>
      <c r="K28" s="91"/>
      <c r="L28" s="823"/>
      <c r="M28" s="91"/>
      <c r="N28" s="91"/>
      <c r="O28" s="91"/>
      <c r="S28" s="1329" t="s">
        <v>1485</v>
      </c>
      <c r="T28" s="1329"/>
      <c r="U28" s="826"/>
      <c r="V28" s="1330" t="str">
        <f>IF(TITLE_DATE_CHANGE_PERIOD="",IF(TITLE_DATE_PR="","",TITLE_DATE_PR),TITLE_DATE_CHANGE_PERIOD)</f>
        <v/>
      </c>
      <c r="W28" s="1330"/>
      <c r="X28" s="1330"/>
      <c r="Y28" s="1330"/>
      <c r="Z28" s="1330"/>
      <c r="AA28" s="1330"/>
      <c r="AB28" s="24"/>
      <c r="AC28" s="1330" t="str">
        <f>IF(TITLE_DATE_CHANGE_PERIOD="",IF(TITLE_DATE_PR="","",TITLE_DATE_PR),TITLE_DATE_CHANGE_PERIOD)</f>
        <v/>
      </c>
      <c r="AD28" s="1330"/>
      <c r="AE28" s="1330"/>
      <c r="AF28" s="1330"/>
      <c r="AG28" s="1330"/>
      <c r="AH28" s="1330"/>
      <c r="AI28" s="24"/>
      <c r="AJ28" s="24"/>
      <c r="AK28" s="171"/>
      <c r="AL28" s="79"/>
      <c r="AM28" s="79"/>
      <c r="AN28" s="79"/>
      <c r="AO28" s="79"/>
      <c r="AP28" s="79"/>
    </row>
    <row r="29" spans="1:42" s="44" customFormat="1" ht="18.75" hidden="1" customHeight="1">
      <c r="A29" s="91"/>
      <c r="B29" s="91"/>
      <c r="C29" s="91"/>
      <c r="D29" s="91"/>
      <c r="E29" s="91"/>
      <c r="F29" s="91"/>
      <c r="G29" s="91"/>
      <c r="H29" s="91"/>
      <c r="I29" s="91"/>
      <c r="J29" s="91"/>
      <c r="K29" s="91"/>
      <c r="L29" s="823"/>
      <c r="M29" s="91"/>
      <c r="N29" s="91"/>
      <c r="O29" s="91"/>
      <c r="S29" s="1329" t="s">
        <v>1486</v>
      </c>
      <c r="T29" s="1329"/>
      <c r="U29" s="826"/>
      <c r="V29" s="1330" t="str">
        <f>IF(TITLE_NUMBER_PR_CHANGE="",IF(TITLE_NUMBER_PR="","",TITLE_NUMBER_PR),TITLE_NUMBER_PR_CHANGE)</f>
        <v/>
      </c>
      <c r="W29" s="1330"/>
      <c r="X29" s="1330"/>
      <c r="Y29" s="1330"/>
      <c r="Z29" s="1330"/>
      <c r="AA29" s="1330"/>
      <c r="AB29" s="24"/>
      <c r="AC29" s="1330" t="str">
        <f>IF(TITLE_NUMBER_PR_CHANGE="",IF(TITLE_NUMBER_PR="","",TITLE_NUMBER_PR),TITLE_NUMBER_PR_CHANGE)</f>
        <v/>
      </c>
      <c r="AD29" s="1330"/>
      <c r="AE29" s="1330"/>
      <c r="AF29" s="1330"/>
      <c r="AG29" s="1330"/>
      <c r="AH29" s="1330"/>
      <c r="AI29" s="24"/>
      <c r="AJ29" s="24"/>
      <c r="AK29" s="171"/>
      <c r="AL29" s="79"/>
      <c r="AM29" s="79"/>
      <c r="AN29" s="79"/>
      <c r="AO29" s="79"/>
      <c r="AP29" s="79"/>
    </row>
    <row r="30" spans="1:42" s="44" customFormat="1" ht="18.75" hidden="1" customHeight="1">
      <c r="A30" s="91"/>
      <c r="B30" s="91"/>
      <c r="C30" s="91"/>
      <c r="D30" s="91"/>
      <c r="E30" s="91"/>
      <c r="F30" s="91"/>
      <c r="G30" s="91"/>
      <c r="H30" s="91"/>
      <c r="I30" s="91"/>
      <c r="J30" s="91"/>
      <c r="K30" s="91"/>
      <c r="L30" s="823"/>
      <c r="M30" s="91"/>
      <c r="N30" s="91"/>
      <c r="O30" s="91"/>
      <c r="S30" s="1329" t="s">
        <v>40</v>
      </c>
      <c r="T30" s="1329"/>
      <c r="U30" s="826"/>
      <c r="V30" s="1330" t="str">
        <f>IF(TITLE_IST_PUB_CHANGE="",IF(TITLE_IST_PUB="","",TITLE_IST_PUB),TITLE_IST_PUB_CHANGE)</f>
        <v/>
      </c>
      <c r="W30" s="1330"/>
      <c r="X30" s="1330"/>
      <c r="Y30" s="1330"/>
      <c r="Z30" s="1330"/>
      <c r="AA30" s="1330"/>
      <c r="AB30" s="24"/>
      <c r="AC30" s="1330" t="str">
        <f>IF(TITLE_IST_PUB_CHANGE="",IF(TITLE_IST_PUB="","",TITLE_IST_PUB),TITLE_IST_PUB_CHANGE)</f>
        <v/>
      </c>
      <c r="AD30" s="1330"/>
      <c r="AE30" s="1330"/>
      <c r="AF30" s="1330"/>
      <c r="AG30" s="1330"/>
      <c r="AH30" s="1330"/>
      <c r="AI30" s="24"/>
      <c r="AJ30" s="24"/>
      <c r="AK30" s="171"/>
      <c r="AL30" s="79"/>
      <c r="AM30" s="79"/>
      <c r="AN30" s="79"/>
      <c r="AO30" s="79"/>
      <c r="AP30" s="79"/>
    </row>
    <row r="31" spans="1:42" ht="14.25" hidden="1" customHeight="1">
      <c r="Q31" s="36"/>
      <c r="R31" s="36"/>
      <c r="S31" s="793"/>
      <c r="T31" s="25"/>
      <c r="U31" s="25"/>
      <c r="V31" s="202"/>
      <c r="W31" s="202"/>
      <c r="X31" s="202"/>
      <c r="Y31" s="202"/>
      <c r="Z31" s="202"/>
      <c r="AA31" s="202"/>
      <c r="AB31" s="202"/>
      <c r="AC31" s="202"/>
      <c r="AD31" s="202"/>
      <c r="AE31" s="202"/>
      <c r="AF31" s="202"/>
      <c r="AG31" s="202"/>
      <c r="AH31" s="202"/>
      <c r="AI31" s="202"/>
    </row>
    <row r="32" spans="1:42" s="44" customFormat="1" ht="18.75" hidden="1" customHeight="1">
      <c r="A32" s="91"/>
      <c r="B32" s="91"/>
      <c r="C32" s="91"/>
      <c r="D32" s="91"/>
      <c r="E32" s="91"/>
      <c r="F32" s="91"/>
      <c r="G32" s="91"/>
      <c r="H32" s="91"/>
      <c r="I32" s="91"/>
      <c r="J32" s="91"/>
      <c r="K32" s="91"/>
      <c r="L32" s="823"/>
      <c r="M32" s="91"/>
      <c r="N32" s="91"/>
      <c r="O32" s="91"/>
      <c r="S32" s="1329" t="s">
        <v>1487</v>
      </c>
      <c r="T32" s="1329"/>
      <c r="U32" s="826"/>
      <c r="V32" s="1330" t="str">
        <f>IF(TITLE_DATE_CHANGE_PERIOD="",IF(TITLE_DATE_PR="","",TITLE_DATE_PR),TITLE_DATE_CHANGE_PERIOD)</f>
        <v/>
      </c>
      <c r="W32" s="1330"/>
      <c r="X32" s="1330"/>
      <c r="Y32" s="1330"/>
      <c r="Z32" s="1330"/>
      <c r="AA32" s="1330"/>
      <c r="AB32" s="24"/>
      <c r="AC32" s="1330" t="str">
        <f>IF(TITLE_DATE_CHANGE_PERIOD="",IF(TITLE_DATE_PR="","",TITLE_DATE_PR),TITLE_DATE_CHANGE_PERIOD)</f>
        <v/>
      </c>
      <c r="AD32" s="1330"/>
      <c r="AE32" s="1330"/>
      <c r="AF32" s="1330"/>
      <c r="AG32" s="1330"/>
      <c r="AH32" s="1330"/>
      <c r="AI32" s="24"/>
      <c r="AJ32" s="24"/>
      <c r="AK32" s="171"/>
      <c r="AL32" s="79"/>
      <c r="AM32" s="79"/>
      <c r="AN32" s="79"/>
      <c r="AO32" s="79"/>
      <c r="AP32" s="79"/>
    </row>
    <row r="33" spans="1:42" s="44" customFormat="1" ht="18.75" hidden="1" customHeight="1">
      <c r="A33" s="91"/>
      <c r="B33" s="91"/>
      <c r="C33" s="91"/>
      <c r="D33" s="91"/>
      <c r="E33" s="91"/>
      <c r="F33" s="91"/>
      <c r="G33" s="91"/>
      <c r="H33" s="91"/>
      <c r="I33" s="91"/>
      <c r="J33" s="91"/>
      <c r="K33" s="91"/>
      <c r="L33" s="823"/>
      <c r="M33" s="91"/>
      <c r="N33" s="91"/>
      <c r="O33" s="91"/>
      <c r="S33" s="1329" t="s">
        <v>1488</v>
      </c>
      <c r="T33" s="1329"/>
      <c r="U33" s="826"/>
      <c r="V33" s="1330" t="str">
        <f>IF(TITLE_NUMBER_PR_CHANGE="",IF(TITLE_NUMBER_PR="","",TITLE_NUMBER_PR),TITLE_NUMBER_PR_CHANGE)</f>
        <v/>
      </c>
      <c r="W33" s="1330"/>
      <c r="X33" s="1330"/>
      <c r="Y33" s="1330"/>
      <c r="Z33" s="1330"/>
      <c r="AA33" s="1330"/>
      <c r="AB33" s="24"/>
      <c r="AC33" s="1330" t="str">
        <f>IF(TITLE_NUMBER_PR_CHANGE="",IF(TITLE_NUMBER_PR="","",TITLE_NUMBER_PR),TITLE_NUMBER_PR_CHANGE)</f>
        <v/>
      </c>
      <c r="AD33" s="1330"/>
      <c r="AE33" s="1330"/>
      <c r="AF33" s="1330"/>
      <c r="AG33" s="1330"/>
      <c r="AH33" s="1330"/>
      <c r="AI33" s="24"/>
      <c r="AJ33" s="24"/>
      <c r="AK33" s="171"/>
      <c r="AL33" s="79"/>
      <c r="AM33" s="79"/>
      <c r="AN33" s="79"/>
      <c r="AO33" s="79"/>
      <c r="AP33" s="79"/>
    </row>
    <row r="34" spans="1:42" s="44" customFormat="1" ht="0.75" customHeight="1">
      <c r="A34" s="91"/>
      <c r="B34" s="91"/>
      <c r="C34" s="91"/>
      <c r="D34" s="91"/>
      <c r="E34" s="91"/>
      <c r="F34" s="91"/>
      <c r="G34" s="91"/>
      <c r="H34" s="91"/>
      <c r="I34" s="91"/>
      <c r="J34" s="91"/>
      <c r="K34" s="91"/>
      <c r="L34" s="823"/>
      <c r="M34" s="91"/>
      <c r="N34" s="91"/>
      <c r="O34" s="91"/>
      <c r="S34" s="24"/>
      <c r="T34" s="24"/>
      <c r="U34" s="87"/>
      <c r="V34" s="24"/>
      <c r="W34" s="24"/>
      <c r="X34" s="24"/>
      <c r="Y34" s="24"/>
      <c r="Z34" s="24"/>
      <c r="AA34" s="24"/>
      <c r="AB34" s="77" t="s">
        <v>1489</v>
      </c>
      <c r="AC34" s="24"/>
      <c r="AD34" s="24"/>
      <c r="AE34" s="24"/>
      <c r="AF34" s="24"/>
      <c r="AG34" s="24"/>
      <c r="AH34" s="24"/>
      <c r="AI34" s="77" t="s">
        <v>1489</v>
      </c>
      <c r="AL34" s="79"/>
      <c r="AM34" s="79"/>
      <c r="AN34" s="79"/>
      <c r="AO34" s="79"/>
      <c r="AP34" s="79"/>
    </row>
    <row r="35" spans="1:42" ht="14.25" customHeight="1">
      <c r="Q35" s="36"/>
      <c r="R35" s="36"/>
      <c r="S35" s="793"/>
      <c r="T35" s="25"/>
      <c r="U35" s="766"/>
      <c r="V35" s="1348"/>
      <c r="W35" s="1348"/>
      <c r="X35" s="1348"/>
      <c r="Y35" s="1348"/>
      <c r="Z35" s="1348"/>
      <c r="AA35" s="1348"/>
      <c r="AB35" s="1348"/>
      <c r="AC35" s="1348"/>
      <c r="AD35" s="1348"/>
      <c r="AE35" s="1348"/>
      <c r="AF35" s="1348"/>
      <c r="AG35" s="1348"/>
      <c r="AH35" s="1348"/>
      <c r="AI35" s="1348"/>
    </row>
    <row r="36" spans="1:42" ht="14.25" customHeight="1">
      <c r="Q36" s="36"/>
      <c r="R36" s="36"/>
      <c r="S36" s="1123" t="s">
        <v>292</v>
      </c>
      <c r="T36" s="1123"/>
      <c r="U36" s="1123"/>
      <c r="V36" s="1123"/>
      <c r="W36" s="1123"/>
      <c r="X36" s="1123"/>
      <c r="Y36" s="1123"/>
      <c r="Z36" s="1123"/>
      <c r="AA36" s="1123"/>
      <c r="AB36" s="1123"/>
      <c r="AC36" s="1123"/>
      <c r="AD36" s="1123"/>
      <c r="AE36" s="1123"/>
      <c r="AF36" s="1123"/>
      <c r="AG36" s="1123"/>
      <c r="AH36" s="1123"/>
      <c r="AI36" s="1123"/>
      <c r="AJ36" s="1123"/>
      <c r="AK36" s="1123" t="s">
        <v>293</v>
      </c>
    </row>
    <row r="37" spans="1:42" ht="14.25" customHeight="1">
      <c r="Q37" s="36"/>
      <c r="R37" s="36"/>
      <c r="S37" s="1349" t="s">
        <v>88</v>
      </c>
      <c r="T37" s="1213" t="s">
        <v>1490</v>
      </c>
      <c r="U37" s="180"/>
      <c r="V37" s="1350" t="s">
        <v>1491</v>
      </c>
      <c r="W37" s="1351"/>
      <c r="X37" s="1351"/>
      <c r="Y37" s="1351"/>
      <c r="Z37" s="1351"/>
      <c r="AA37" s="1352"/>
      <c r="AB37" s="1353" t="s">
        <v>1492</v>
      </c>
      <c r="AC37" s="1350" t="s">
        <v>1491</v>
      </c>
      <c r="AD37" s="1351"/>
      <c r="AE37" s="1351"/>
      <c r="AF37" s="1351"/>
      <c r="AG37" s="1351"/>
      <c r="AH37" s="1352"/>
      <c r="AI37" s="1353" t="s">
        <v>1493</v>
      </c>
      <c r="AJ37" s="1356" t="s">
        <v>1494</v>
      </c>
      <c r="AK37" s="1123"/>
    </row>
    <row r="38" spans="1:42" ht="33.75" customHeight="1">
      <c r="Q38" s="36"/>
      <c r="R38" s="36"/>
      <c r="S38" s="1349"/>
      <c r="T38" s="1213"/>
      <c r="U38" s="647"/>
      <c r="V38" s="366" t="s">
        <v>1689</v>
      </c>
      <c r="W38" s="1105" t="s">
        <v>1497</v>
      </c>
      <c r="X38" s="1104"/>
      <c r="Y38" s="1105" t="s">
        <v>1498</v>
      </c>
      <c r="Z38" s="1110"/>
      <c r="AA38" s="1104"/>
      <c r="AB38" s="1354"/>
      <c r="AC38" s="366" t="s">
        <v>1689</v>
      </c>
      <c r="AD38" s="1105" t="s">
        <v>1497</v>
      </c>
      <c r="AE38" s="1104"/>
      <c r="AF38" s="1105" t="s">
        <v>1498</v>
      </c>
      <c r="AG38" s="1110"/>
      <c r="AH38" s="1104"/>
      <c r="AI38" s="1354"/>
      <c r="AJ38" s="1357"/>
      <c r="AK38" s="1123"/>
    </row>
    <row r="39" spans="1:42" ht="33.75" customHeight="1">
      <c r="A39" s="91"/>
      <c r="B39" s="91" t="s">
        <v>136</v>
      </c>
      <c r="C39" s="91" t="s">
        <v>137</v>
      </c>
      <c r="D39" s="91" t="s">
        <v>138</v>
      </c>
      <c r="E39" s="823" t="s">
        <v>1499</v>
      </c>
      <c r="F39" s="823" t="s">
        <v>1500</v>
      </c>
      <c r="G39" s="823" t="s">
        <v>1501</v>
      </c>
      <c r="H39" s="823"/>
      <c r="I39" s="823" t="s">
        <v>1690</v>
      </c>
      <c r="J39" s="823" t="s">
        <v>1504</v>
      </c>
      <c r="K39" s="823" t="s">
        <v>1691</v>
      </c>
      <c r="L39" s="823" t="s">
        <v>1480</v>
      </c>
      <c r="Q39" s="36"/>
      <c r="R39" s="36"/>
      <c r="S39" s="1349"/>
      <c r="T39" s="1213"/>
      <c r="U39" s="181"/>
      <c r="V39" s="366" t="s">
        <v>1692</v>
      </c>
      <c r="W39" s="48" t="s">
        <v>1693</v>
      </c>
      <c r="X39" s="48" t="s">
        <v>1694</v>
      </c>
      <c r="Y39" s="48" t="s">
        <v>1508</v>
      </c>
      <c r="Z39" s="1219" t="s">
        <v>1509</v>
      </c>
      <c r="AA39" s="1233"/>
      <c r="AB39" s="1355"/>
      <c r="AC39" s="366" t="s">
        <v>1692</v>
      </c>
      <c r="AD39" s="48" t="s">
        <v>1693</v>
      </c>
      <c r="AE39" s="48" t="s">
        <v>1694</v>
      </c>
      <c r="AF39" s="48" t="s">
        <v>1508</v>
      </c>
      <c r="AG39" s="1219" t="s">
        <v>1509</v>
      </c>
      <c r="AH39" s="1233"/>
      <c r="AI39" s="1355"/>
      <c r="AJ39" s="1358"/>
      <c r="AK39" s="1123"/>
    </row>
    <row r="40" spans="1:42" s="216" customFormat="1" ht="11.25" hidden="1" customHeight="1">
      <c r="A40" s="91"/>
      <c r="B40" s="91"/>
      <c r="C40" s="91"/>
      <c r="D40" s="91"/>
      <c r="E40" s="91"/>
      <c r="F40" s="91"/>
      <c r="G40" s="91"/>
      <c r="H40" s="91"/>
      <c r="I40" s="91"/>
      <c r="J40" s="91"/>
      <c r="K40" s="91"/>
      <c r="L40" s="823"/>
      <c r="M40" s="541"/>
      <c r="N40" s="541"/>
      <c r="O40" s="541"/>
      <c r="P40" s="768"/>
      <c r="Q40" s="769"/>
      <c r="R40" s="777">
        <v>1</v>
      </c>
      <c r="S40" s="795" t="s">
        <v>109</v>
      </c>
      <c r="T40" s="778" t="s">
        <v>110</v>
      </c>
      <c r="U40" s="767" t="str">
        <f ca="1">OFFSET(U40,0,-1)</f>
        <v>2</v>
      </c>
      <c r="V40" s="779">
        <f ca="1">OFFSET(V40,0,-1)+1</f>
        <v>3</v>
      </c>
      <c r="W40" s="779">
        <f ca="1">OFFSET(W40,0,-1)+1</f>
        <v>4</v>
      </c>
      <c r="X40" s="779">
        <f ca="1">OFFSET(X40,0,-1)+1</f>
        <v>5</v>
      </c>
      <c r="Y40" s="779">
        <f ca="1">OFFSET(Y40,0,-1)+1</f>
        <v>6</v>
      </c>
      <c r="Z40" s="1347">
        <f ca="1">OFFSET(Z40,0,-1)+1</f>
        <v>7</v>
      </c>
      <c r="AA40" s="1347"/>
      <c r="AB40" s="779">
        <f ca="1">OFFSET(AB40,0,-2)+1</f>
        <v>8</v>
      </c>
      <c r="AC40" s="779">
        <f ca="1">OFFSET(AC40,0,-1)+1</f>
        <v>9</v>
      </c>
      <c r="AD40" s="779">
        <f ca="1">OFFSET(AD40,0,-1)+1</f>
        <v>10</v>
      </c>
      <c r="AE40" s="779">
        <f ca="1">OFFSET(AE40,0,-1)+1</f>
        <v>11</v>
      </c>
      <c r="AF40" s="779">
        <f ca="1">OFFSET(AF40,0,-1)+1</f>
        <v>12</v>
      </c>
      <c r="AG40" s="1347">
        <f ca="1">OFFSET(AG40,0,-1)+1</f>
        <v>13</v>
      </c>
      <c r="AH40" s="1347"/>
      <c r="AI40" s="779">
        <f ca="1">OFFSET(AI40,0,-2)+1</f>
        <v>14</v>
      </c>
      <c r="AJ40" s="767">
        <f ca="1">OFFSET(AJ40,0,-1)</f>
        <v>14</v>
      </c>
      <c r="AK40" s="779">
        <f ca="1">OFFSET(AK40,0,-1)+1</f>
        <v>15</v>
      </c>
      <c r="AL40" s="77"/>
      <c r="AM40" s="77"/>
      <c r="AN40" s="77"/>
      <c r="AO40" s="77"/>
      <c r="AP40" s="77"/>
    </row>
    <row r="41" spans="1:42" ht="23.25" customHeight="1">
      <c r="A41" s="822" t="s">
        <v>223</v>
      </c>
      <c r="B41" s="822"/>
      <c r="C41" s="822"/>
      <c r="D41" s="822"/>
      <c r="E41" s="1337">
        <v>1</v>
      </c>
      <c r="F41" s="822"/>
      <c r="G41" s="822"/>
      <c r="H41" s="822"/>
      <c r="I41" s="822"/>
      <c r="J41" s="822"/>
      <c r="K41" s="822"/>
      <c r="L41" s="823"/>
      <c r="M41" s="452"/>
      <c r="N41" s="452"/>
      <c r="O41" s="452"/>
      <c r="Q41" s="43"/>
      <c r="R41" s="220"/>
      <c r="S41" s="755">
        <f>INDEX(PT_DIFFERENTIATION_NUM_NTAR,MATCH(A41,PT_DIFFERENTIATION_NTAR_ID,0))</f>
        <v>0</v>
      </c>
      <c r="T41" s="76" t="s">
        <v>124</v>
      </c>
      <c r="U41" s="179"/>
      <c r="V41" s="1331"/>
      <c r="W41" s="1332"/>
      <c r="X41" s="1332"/>
      <c r="Y41" s="1332"/>
      <c r="Z41" s="1332"/>
      <c r="AA41" s="1332"/>
      <c r="AB41" s="1333"/>
      <c r="AC41" s="1331" t="str">
        <f>INDEX(PT_DIFFERENTIATION_NTAR,MATCH(A41,PT_DIFFERENTIATION_NTAR_ID,0))</f>
        <v/>
      </c>
      <c r="AD41" s="1332"/>
      <c r="AE41" s="1332"/>
      <c r="AF41" s="1332"/>
      <c r="AG41" s="1332"/>
      <c r="AH41" s="1332"/>
      <c r="AI41" s="1332"/>
      <c r="AJ41" s="1333"/>
      <c r="AK41" s="7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9"/>
      <c r="AN41" s="79" t="str">
        <f t="shared" ref="AN41:AN53" si="1">IF(T41="","",T41)</f>
        <v>Наименование тарифа</v>
      </c>
      <c r="AO41" s="79"/>
      <c r="AP41" s="79"/>
    </row>
    <row r="42" spans="1:42" ht="23.25" customHeight="1">
      <c r="A42" s="822" t="s">
        <v>223</v>
      </c>
      <c r="B42" s="822" t="s">
        <v>224</v>
      </c>
      <c r="C42" s="822"/>
      <c r="D42" s="822"/>
      <c r="E42" s="1338"/>
      <c r="F42" s="1337">
        <v>1</v>
      </c>
      <c r="G42" s="822"/>
      <c r="H42" s="822"/>
      <c r="I42" s="822"/>
      <c r="J42" s="822"/>
      <c r="K42" s="822"/>
      <c r="L42" s="823"/>
      <c r="M42" s="452"/>
      <c r="N42" s="452"/>
      <c r="O42" s="452"/>
      <c r="P42" s="68"/>
      <c r="Q42" s="217"/>
      <c r="R42" s="218"/>
      <c r="S42" s="755" t="str">
        <f>INDEX(PT_DIFFERENTIATION_NUM_TER,MATCH(B42,PT_DIFFERENTIATION_TER_ID,0))</f>
        <v>.</v>
      </c>
      <c r="T42" s="187" t="s">
        <v>1462</v>
      </c>
      <c r="U42" s="179"/>
      <c r="V42" s="1331"/>
      <c r="W42" s="1332"/>
      <c r="X42" s="1332"/>
      <c r="Y42" s="1332"/>
      <c r="Z42" s="1332"/>
      <c r="AA42" s="1332"/>
      <c r="AB42" s="1333"/>
      <c r="AC42" s="1331" t="str">
        <f>INDEX(PT_DIFFERENTIATION_TER,MATCH(B42,PT_DIFFERENTIATION_TER_ID,0))</f>
        <v/>
      </c>
      <c r="AD42" s="1332"/>
      <c r="AE42" s="1332"/>
      <c r="AF42" s="1332"/>
      <c r="AG42" s="1332"/>
      <c r="AH42" s="1332"/>
      <c r="AI42" s="1332"/>
      <c r="AJ42" s="1333"/>
      <c r="AK42" s="782" t="s">
        <v>1463</v>
      </c>
      <c r="AM42" s="79"/>
      <c r="AN42" s="79" t="str">
        <f t="shared" si="1"/>
        <v>Территория действия тарифа</v>
      </c>
      <c r="AO42" s="79"/>
      <c r="AP42" s="79"/>
    </row>
    <row r="43" spans="1:42" ht="23.25" customHeight="1">
      <c r="A43" s="822" t="s">
        <v>223</v>
      </c>
      <c r="B43" s="822" t="s">
        <v>224</v>
      </c>
      <c r="C43" s="822" t="s">
        <v>225</v>
      </c>
      <c r="D43" s="822"/>
      <c r="E43" s="1338"/>
      <c r="F43" s="1338"/>
      <c r="G43" s="1337">
        <v>1</v>
      </c>
      <c r="H43" s="822"/>
      <c r="I43" s="822"/>
      <c r="J43" s="822"/>
      <c r="K43" s="822"/>
      <c r="L43" s="823"/>
      <c r="M43" s="452"/>
      <c r="N43" s="452"/>
      <c r="O43" s="452"/>
      <c r="P43" s="219"/>
      <c r="Q43" s="217"/>
      <c r="R43" s="218"/>
      <c r="S43" s="755" t="str">
        <f>INDEX(PT_DIFFERENTIATION_NUM_CS,MATCH(C43,PT_DIFFERENTIATION_CS_ID,0))</f>
        <v>..</v>
      </c>
      <c r="T43" s="188" t="s">
        <v>1681</v>
      </c>
      <c r="U43" s="179"/>
      <c r="V43" s="1331"/>
      <c r="W43" s="1332"/>
      <c r="X43" s="1332"/>
      <c r="Y43" s="1332"/>
      <c r="Z43" s="1332"/>
      <c r="AA43" s="1332"/>
      <c r="AB43" s="1333"/>
      <c r="AC43" s="1331" t="str">
        <f>INDEX(PT_DIFFERENTIATION_CS,MATCH(C43,PT_DIFFERENTIATION_CS_ID,0))</f>
        <v/>
      </c>
      <c r="AD43" s="1332"/>
      <c r="AE43" s="1332"/>
      <c r="AF43" s="1332"/>
      <c r="AG43" s="1332"/>
      <c r="AH43" s="1332"/>
      <c r="AI43" s="1332"/>
      <c r="AJ43" s="1333"/>
      <c r="AK43" s="782" t="s">
        <v>1682</v>
      </c>
      <c r="AM43" s="79"/>
      <c r="AN43" s="79" t="str">
        <f t="shared" si="1"/>
        <v>Наименование централизованной системы холодного водоснабжения</v>
      </c>
      <c r="AO43" s="79"/>
      <c r="AP43" s="79"/>
    </row>
    <row r="44" spans="1:42" ht="23.25" customHeight="1">
      <c r="A44" s="822" t="s">
        <v>223</v>
      </c>
      <c r="B44" s="822" t="s">
        <v>224</v>
      </c>
      <c r="C44" s="822" t="s">
        <v>225</v>
      </c>
      <c r="D44" s="822" t="s">
        <v>1698</v>
      </c>
      <c r="E44" s="1338"/>
      <c r="F44" s="1338"/>
      <c r="G44" s="1338"/>
      <c r="H44" s="1338"/>
      <c r="I44" s="1339" t="str">
        <f>S43&amp;".1"</f>
        <v>...1</v>
      </c>
      <c r="J44" s="822"/>
      <c r="K44" s="822"/>
      <c r="L44" s="823"/>
      <c r="P44" s="1259">
        <v>1</v>
      </c>
      <c r="Q44" s="127"/>
      <c r="R44" s="221"/>
      <c r="S44" s="755" t="str">
        <f>$I44</f>
        <v>...1</v>
      </c>
      <c r="T44" s="172" t="s">
        <v>1683</v>
      </c>
      <c r="U44" s="179"/>
      <c r="V44" s="1429"/>
      <c r="W44" s="1430"/>
      <c r="X44" s="1430"/>
      <c r="Y44" s="1430"/>
      <c r="Z44" s="1430"/>
      <c r="AA44" s="1430"/>
      <c r="AB44" s="1431"/>
      <c r="AC44" s="1432"/>
      <c r="AD44" s="1433"/>
      <c r="AE44" s="1433"/>
      <c r="AF44" s="1433"/>
      <c r="AG44" s="1433"/>
      <c r="AH44" s="1433"/>
      <c r="AI44" s="1433"/>
      <c r="AJ44" s="1434"/>
      <c r="AK44" s="782" t="s">
        <v>1684</v>
      </c>
      <c r="AM44" s="79"/>
      <c r="AN44" s="79" t="str">
        <f t="shared" si="1"/>
        <v>Наименование признака дифференциации</v>
      </c>
      <c r="AO44" s="79"/>
      <c r="AP44" s="79"/>
    </row>
    <row r="45" spans="1:42" ht="23.25" customHeight="1">
      <c r="A45" s="822" t="s">
        <v>223</v>
      </c>
      <c r="B45" s="822" t="s">
        <v>224</v>
      </c>
      <c r="C45" s="822" t="s">
        <v>225</v>
      </c>
      <c r="D45" s="822" t="s">
        <v>1698</v>
      </c>
      <c r="E45" s="1338"/>
      <c r="F45" s="1338"/>
      <c r="G45" s="1338"/>
      <c r="H45" s="1338"/>
      <c r="I45" s="1340"/>
      <c r="J45" s="1339" t="str">
        <f>I44&amp;".1"</f>
        <v>...1.1</v>
      </c>
      <c r="K45" s="822"/>
      <c r="L45" s="823" t="s">
        <v>1471</v>
      </c>
      <c r="P45" s="1259"/>
      <c r="Q45" s="1259">
        <v>1</v>
      </c>
      <c r="R45" s="222"/>
      <c r="S45" s="755" t="str">
        <f>$J45</f>
        <v>...1.1</v>
      </c>
      <c r="T45" s="173" t="s">
        <v>1472</v>
      </c>
      <c r="U45" s="179"/>
      <c r="V45" s="1326"/>
      <c r="W45" s="1327"/>
      <c r="X45" s="1327"/>
      <c r="Y45" s="1327"/>
      <c r="Z45" s="1327"/>
      <c r="AA45" s="1327"/>
      <c r="AB45" s="1328"/>
      <c r="AC45" s="1326"/>
      <c r="AD45" s="1327"/>
      <c r="AE45" s="1327"/>
      <c r="AF45" s="1327"/>
      <c r="AG45" s="1327"/>
      <c r="AH45" s="1327"/>
      <c r="AI45" s="1327"/>
      <c r="AJ45" s="1328"/>
      <c r="AK45" s="809" t="s">
        <v>1685</v>
      </c>
      <c r="AM45" s="79"/>
      <c r="AN45" s="79" t="str">
        <f t="shared" si="1"/>
        <v>Группа потребителей</v>
      </c>
      <c r="AO45" s="79"/>
      <c r="AP45" s="79"/>
    </row>
    <row r="46" spans="1:42" ht="23.25" customHeight="1">
      <c r="A46" s="822" t="s">
        <v>223</v>
      </c>
      <c r="B46" s="822" t="s">
        <v>224</v>
      </c>
      <c r="C46" s="822" t="s">
        <v>225</v>
      </c>
      <c r="D46" s="822" t="s">
        <v>1698</v>
      </c>
      <c r="E46" s="1338"/>
      <c r="F46" s="1338"/>
      <c r="G46" s="1338"/>
      <c r="H46" s="1338"/>
      <c r="I46" s="1340"/>
      <c r="J46" s="1340"/>
      <c r="K46" s="1339" t="str">
        <f>J45&amp;".1"</f>
        <v>...1.1.1</v>
      </c>
      <c r="L46" s="823"/>
      <c r="P46" s="1259"/>
      <c r="Q46" s="1259"/>
      <c r="R46" s="222">
        <v>1</v>
      </c>
      <c r="S46" s="755" t="str">
        <f>$K46</f>
        <v>...1.1.1</v>
      </c>
      <c r="T46" s="853"/>
      <c r="U46" s="179"/>
      <c r="V46" s="1054"/>
      <c r="W46" s="1054"/>
      <c r="X46" s="1056"/>
      <c r="Y46" s="1341"/>
      <c r="Z46" s="1133" t="s">
        <v>67</v>
      </c>
      <c r="AA46" s="1341"/>
      <c r="AB46" s="1133" t="s">
        <v>67</v>
      </c>
      <c r="AC46" s="1054"/>
      <c r="AD46" s="1054"/>
      <c r="AE46" s="1056"/>
      <c r="AF46" s="1341"/>
      <c r="AG46" s="1133" t="s">
        <v>67</v>
      </c>
      <c r="AH46" s="1343"/>
      <c r="AI46" s="1133" t="s">
        <v>67</v>
      </c>
      <c r="AJ46" s="1082"/>
      <c r="AK46" s="143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7" t="e">
        <f ca="1">STRCHECKDATE(V47:AJ47)</f>
        <v>#NAME?</v>
      </c>
      <c r="AM46" s="79"/>
      <c r="AN46" s="79" t="str">
        <f t="shared" si="1"/>
        <v/>
      </c>
      <c r="AO46" s="79"/>
      <c r="AP46" s="79"/>
    </row>
    <row r="47" spans="1:42" ht="0" hidden="1" customHeight="1">
      <c r="A47" s="822" t="s">
        <v>223</v>
      </c>
      <c r="B47" s="822" t="s">
        <v>224</v>
      </c>
      <c r="C47" s="822" t="s">
        <v>225</v>
      </c>
      <c r="D47" s="822" t="s">
        <v>1698</v>
      </c>
      <c r="E47" s="1338"/>
      <c r="F47" s="1338"/>
      <c r="G47" s="1338"/>
      <c r="H47" s="1338"/>
      <c r="I47" s="1340"/>
      <c r="J47" s="1340"/>
      <c r="K47" s="1339"/>
      <c r="L47" s="823"/>
      <c r="P47" s="1259"/>
      <c r="Q47" s="1259"/>
      <c r="R47" s="222"/>
      <c r="S47" s="74"/>
      <c r="T47" s="179"/>
      <c r="U47" s="179"/>
      <c r="V47" s="1055"/>
      <c r="W47" s="1055"/>
      <c r="X47" s="1057" t="str">
        <f>Y46&amp;"-"&amp;AA46</f>
        <v>-</v>
      </c>
      <c r="Y47" s="1342"/>
      <c r="Z47" s="1133"/>
      <c r="AA47" s="1342"/>
      <c r="AB47" s="1133"/>
      <c r="AC47" s="1055"/>
      <c r="AD47" s="1055"/>
      <c r="AE47" s="1057" t="str">
        <f>AF46&amp;"-"&amp;AH46</f>
        <v>-</v>
      </c>
      <c r="AF47" s="1342"/>
      <c r="AG47" s="1133"/>
      <c r="AH47" s="1344"/>
      <c r="AI47" s="1133"/>
      <c r="AJ47" s="1083"/>
      <c r="AK47" s="1435"/>
      <c r="AM47" s="79"/>
      <c r="AN47" s="79" t="str">
        <f t="shared" si="1"/>
        <v/>
      </c>
      <c r="AO47" s="79"/>
      <c r="AP47" s="79"/>
    </row>
    <row r="48" spans="1:42" ht="21" customHeight="1">
      <c r="A48" s="822" t="s">
        <v>223</v>
      </c>
      <c r="B48" s="822" t="s">
        <v>224</v>
      </c>
      <c r="C48" s="822" t="s">
        <v>225</v>
      </c>
      <c r="D48" s="822" t="s">
        <v>1698</v>
      </c>
      <c r="E48" s="1338"/>
      <c r="F48" s="1338"/>
      <c r="G48" s="1338"/>
      <c r="H48" s="1338"/>
      <c r="I48" s="1340"/>
      <c r="J48" s="1339"/>
      <c r="K48" s="822"/>
      <c r="L48" s="823"/>
      <c r="P48" s="1259"/>
      <c r="Q48" s="1259"/>
      <c r="R48" s="221"/>
      <c r="S48" s="796"/>
      <c r="T48" s="174" t="s">
        <v>1686</v>
      </c>
      <c r="U48" s="228"/>
      <c r="V48" s="228"/>
      <c r="W48" s="228"/>
      <c r="X48" s="228"/>
      <c r="Y48" s="228"/>
      <c r="Z48" s="228"/>
      <c r="AA48" s="228"/>
      <c r="AB48" s="228"/>
      <c r="AC48" s="228"/>
      <c r="AD48" s="228"/>
      <c r="AE48" s="228"/>
      <c r="AF48" s="228"/>
      <c r="AG48" s="228"/>
      <c r="AH48" s="228"/>
      <c r="AI48" s="228"/>
      <c r="AJ48" s="228"/>
      <c r="AK48" s="782" t="s">
        <v>1687</v>
      </c>
      <c r="AM48" s="79"/>
      <c r="AN48" s="79" t="str">
        <f t="shared" si="1"/>
        <v>Добавить значение признака дифференциации</v>
      </c>
      <c r="AO48" s="79"/>
      <c r="AP48" s="79"/>
    </row>
    <row r="49" spans="1:42" ht="21" customHeight="1">
      <c r="A49" s="822" t="s">
        <v>223</v>
      </c>
      <c r="B49" s="822" t="s">
        <v>224</v>
      </c>
      <c r="C49" s="822" t="s">
        <v>225</v>
      </c>
      <c r="D49" s="822" t="s">
        <v>1698</v>
      </c>
      <c r="E49" s="1338"/>
      <c r="F49" s="1338"/>
      <c r="G49" s="1338"/>
      <c r="H49" s="1338"/>
      <c r="I49" s="1339"/>
      <c r="J49" s="822"/>
      <c r="K49" s="822"/>
      <c r="L49" s="823"/>
      <c r="P49" s="1259"/>
      <c r="Q49" s="127"/>
      <c r="R49" s="221"/>
      <c r="S49" s="796"/>
      <c r="T49" s="226" t="s">
        <v>1477</v>
      </c>
      <c r="U49" s="228"/>
      <c r="V49" s="228"/>
      <c r="W49" s="228"/>
      <c r="X49" s="228"/>
      <c r="Y49" s="228"/>
      <c r="Z49" s="228"/>
      <c r="AA49" s="228"/>
      <c r="AB49" s="205"/>
      <c r="AC49" s="228"/>
      <c r="AD49" s="228"/>
      <c r="AE49" s="228"/>
      <c r="AF49" s="228"/>
      <c r="AG49" s="228"/>
      <c r="AH49" s="228"/>
      <c r="AI49" s="205"/>
      <c r="AJ49" s="228"/>
      <c r="AK49" s="854"/>
      <c r="AM49" s="79"/>
      <c r="AN49" s="79" t="str">
        <f t="shared" si="1"/>
        <v>Добавить группу потребителей</v>
      </c>
      <c r="AO49" s="79"/>
      <c r="AP49" s="79"/>
    </row>
    <row r="50" spans="1:42" ht="21" customHeight="1">
      <c r="A50" s="822" t="s">
        <v>223</v>
      </c>
      <c r="B50" s="822" t="s">
        <v>224</v>
      </c>
      <c r="C50" s="822" t="s">
        <v>225</v>
      </c>
      <c r="D50" s="822" t="s">
        <v>1698</v>
      </c>
      <c r="E50" s="1338"/>
      <c r="F50" s="1338"/>
      <c r="G50" s="1338"/>
      <c r="H50" s="1337"/>
      <c r="I50" s="822"/>
      <c r="J50" s="822"/>
      <c r="K50" s="822"/>
      <c r="L50" s="823"/>
      <c r="M50" s="452"/>
      <c r="N50" s="452"/>
      <c r="O50" s="72"/>
      <c r="P50" s="43"/>
      <c r="Q50" s="231"/>
      <c r="R50" s="220"/>
      <c r="S50" s="796"/>
      <c r="T50" s="113" t="s">
        <v>1688</v>
      </c>
      <c r="U50" s="228"/>
      <c r="V50" s="228"/>
      <c r="W50" s="228"/>
      <c r="X50" s="228"/>
      <c r="Y50" s="228"/>
      <c r="Z50" s="228"/>
      <c r="AA50" s="228"/>
      <c r="AB50" s="205"/>
      <c r="AC50" s="228"/>
      <c r="AD50" s="228"/>
      <c r="AE50" s="228"/>
      <c r="AF50" s="228"/>
      <c r="AG50" s="228"/>
      <c r="AH50" s="228"/>
      <c r="AI50" s="205"/>
      <c r="AJ50" s="228"/>
      <c r="AK50" s="182"/>
      <c r="AM50" s="79"/>
      <c r="AN50" s="79" t="str">
        <f t="shared" si="1"/>
        <v>Добавить наименование признака дифференциации</v>
      </c>
      <c r="AO50" s="79"/>
      <c r="AP50" s="79"/>
    </row>
    <row r="51" spans="1:42" s="77" customFormat="1" ht="0.75" customHeight="1">
      <c r="A51" s="150" t="s">
        <v>223</v>
      </c>
      <c r="B51" s="150" t="s">
        <v>224</v>
      </c>
      <c r="C51" s="150"/>
      <c r="D51" s="150"/>
      <c r="E51" s="1338"/>
      <c r="F51" s="1337"/>
      <c r="G51" s="150"/>
      <c r="H51" s="150"/>
      <c r="I51" s="150"/>
      <c r="J51" s="150"/>
      <c r="K51" s="150"/>
      <c r="L51" s="373"/>
      <c r="M51" s="815"/>
      <c r="N51" s="815"/>
      <c r="P51" s="111"/>
      <c r="Q51" s="811"/>
      <c r="R51" s="111"/>
      <c r="S51" s="816"/>
      <c r="T51" s="818" t="s">
        <v>1438</v>
      </c>
      <c r="U51" s="338"/>
      <c r="V51" s="338"/>
      <c r="W51" s="338"/>
      <c r="X51" s="338"/>
      <c r="Y51" s="338"/>
      <c r="Z51" s="338"/>
      <c r="AA51" s="338"/>
      <c r="AB51" s="338"/>
      <c r="AC51" s="338"/>
      <c r="AD51" s="338"/>
      <c r="AE51" s="338"/>
      <c r="AF51" s="338"/>
      <c r="AG51" s="338"/>
      <c r="AH51" s="338"/>
      <c r="AI51" s="338"/>
      <c r="AJ51" s="338"/>
      <c r="AK51" s="338"/>
      <c r="AM51" s="79"/>
      <c r="AN51" s="79" t="str">
        <f t="shared" si="1"/>
        <v>Добавить централизованную систему для дифференциации</v>
      </c>
      <c r="AO51" s="79"/>
      <c r="AP51" s="79"/>
    </row>
    <row r="52" spans="1:42" s="77" customFormat="1" ht="0.75" customHeight="1">
      <c r="A52" s="150" t="s">
        <v>223</v>
      </c>
      <c r="B52" s="150"/>
      <c r="C52" s="150"/>
      <c r="D52" s="150"/>
      <c r="E52" s="1337"/>
      <c r="F52" s="150"/>
      <c r="G52" s="150"/>
      <c r="H52" s="150"/>
      <c r="I52" s="150"/>
      <c r="J52" s="150"/>
      <c r="K52" s="150"/>
      <c r="L52" s="373"/>
      <c r="M52" s="815"/>
      <c r="N52" s="815"/>
      <c r="P52" s="111"/>
      <c r="Q52" s="811"/>
      <c r="R52" s="111"/>
      <c r="S52" s="816"/>
      <c r="T52" s="818" t="s">
        <v>1439</v>
      </c>
      <c r="U52" s="338"/>
      <c r="V52" s="338"/>
      <c r="W52" s="338"/>
      <c r="X52" s="338"/>
      <c r="Y52" s="338"/>
      <c r="Z52" s="338"/>
      <c r="AA52" s="338"/>
      <c r="AB52" s="338"/>
      <c r="AC52" s="338"/>
      <c r="AD52" s="338"/>
      <c r="AE52" s="338"/>
      <c r="AF52" s="338"/>
      <c r="AG52" s="338"/>
      <c r="AH52" s="338"/>
      <c r="AI52" s="338"/>
      <c r="AJ52" s="338"/>
      <c r="AK52" s="338"/>
      <c r="AM52" s="79"/>
      <c r="AN52" s="79" t="str">
        <f t="shared" si="1"/>
        <v>Добавить территорию для дифференциации</v>
      </c>
      <c r="AO52" s="79"/>
      <c r="AP52" s="79"/>
    </row>
    <row r="53" spans="1:42" s="77" customFormat="1" ht="0.75" customHeight="1">
      <c r="A53" s="150"/>
      <c r="B53" s="150"/>
      <c r="C53" s="150"/>
      <c r="D53" s="150"/>
      <c r="E53" s="150"/>
      <c r="F53" s="150"/>
      <c r="G53" s="150"/>
      <c r="H53" s="150"/>
      <c r="I53" s="150"/>
      <c r="J53" s="150"/>
      <c r="K53" s="150"/>
      <c r="L53" s="373"/>
      <c r="M53" s="815"/>
      <c r="N53" s="815"/>
      <c r="P53" s="111"/>
      <c r="Q53" s="811"/>
      <c r="R53" s="111"/>
      <c r="S53" s="816"/>
      <c r="T53" s="818" t="s">
        <v>1440</v>
      </c>
      <c r="U53" s="338"/>
      <c r="V53" s="338"/>
      <c r="W53" s="338"/>
      <c r="X53" s="338"/>
      <c r="Y53" s="338"/>
      <c r="Z53" s="338"/>
      <c r="AA53" s="338"/>
      <c r="AB53" s="338"/>
      <c r="AC53" s="338"/>
      <c r="AD53" s="338"/>
      <c r="AE53" s="338"/>
      <c r="AF53" s="338"/>
      <c r="AG53" s="338"/>
      <c r="AH53" s="338"/>
      <c r="AI53" s="338"/>
      <c r="AJ53" s="338"/>
      <c r="AK53" s="338"/>
      <c r="AM53" s="79"/>
      <c r="AN53" s="79" t="str">
        <f t="shared" si="1"/>
        <v>Добавить наименование тарифа</v>
      </c>
      <c r="AO53" s="79"/>
      <c r="AP53" s="79"/>
    </row>
    <row r="54" spans="1:42" ht="11.25" hidden="1" customHeight="1">
      <c r="M54" s="72"/>
      <c r="N54" s="72"/>
      <c r="O54" s="72"/>
      <c r="P54" s="24"/>
      <c r="Q54" s="24"/>
      <c r="R54" s="24"/>
      <c r="S54" s="24"/>
      <c r="AL54" s="24"/>
      <c r="AM54" s="24"/>
      <c r="AN54" s="24"/>
      <c r="AO54" s="24"/>
      <c r="AP54" s="24"/>
    </row>
    <row r="55" spans="1:42" ht="14.25" hidden="1" customHeight="1">
      <c r="O55" s="72"/>
      <c r="S55" s="210" t="s">
        <v>1510</v>
      </c>
      <c r="T55" s="1336" t="s">
        <v>1696</v>
      </c>
      <c r="U55" s="1336"/>
      <c r="V55" s="1336"/>
      <c r="W55" s="1336"/>
      <c r="X55" s="1336"/>
      <c r="Y55" s="1336"/>
      <c r="Z55" s="1336"/>
      <c r="AA55" s="1336"/>
      <c r="AB55" s="1336"/>
      <c r="AC55" s="1336"/>
      <c r="AD55" s="1336"/>
      <c r="AE55" s="1336"/>
      <c r="AF55" s="1336"/>
      <c r="AG55" s="1336"/>
      <c r="AH55" s="1336"/>
      <c r="AI55" s="1336"/>
      <c r="AJ55" s="1336"/>
      <c r="AK55" s="1336"/>
    </row>
    <row r="56" spans="1:42" ht="14.25" hidden="1" customHeight="1">
      <c r="O56" s="72"/>
    </row>
    <row r="57" spans="1:42" ht="14.25" hidden="1" customHeight="1">
      <c r="O57" s="72"/>
      <c r="S57" s="210" t="s">
        <v>1510</v>
      </c>
      <c r="T57" s="1336" t="s">
        <v>1697</v>
      </c>
      <c r="U57" s="1336"/>
      <c r="V57" s="1336"/>
      <c r="W57" s="1336"/>
      <c r="X57" s="1336"/>
      <c r="Y57" s="1336"/>
      <c r="Z57" s="1336"/>
      <c r="AA57" s="1336"/>
      <c r="AB57" s="1336"/>
      <c r="AC57" s="1336"/>
      <c r="AD57" s="1336"/>
      <c r="AE57" s="1336"/>
      <c r="AF57" s="1336"/>
      <c r="AG57" s="1336"/>
      <c r="AH57" s="1336"/>
      <c r="AI57" s="1336"/>
      <c r="AJ57" s="1336"/>
      <c r="AK57" s="1336"/>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23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2300-000001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2300-000002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2300-000003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2300-000004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2300-000005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2300-000006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23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EF3FA9-C2EA-7C83-BC83-BD39C1B3B5BF}">
  <sheetPr>
    <tabColor theme="6" tint="0.39997558519241921"/>
  </sheetPr>
  <dimension ref="A1:AP57"/>
  <sheetViews>
    <sheetView showGridLines="0" topLeftCell="P23" zoomScale="90" workbookViewId="0"/>
  </sheetViews>
  <sheetFormatPr defaultColWidth="10.5703125" defaultRowHeight="14.25" customHeight="1"/>
  <cols>
    <col min="1" max="1" width="10.5703125" style="72" hidden="1"/>
    <col min="2" max="2" width="11" style="72" hidden="1" customWidth="1"/>
    <col min="3" max="3" width="10.5703125" style="72" hidden="1"/>
    <col min="4" max="4" width="11.85546875" style="72" hidden="1" customWidth="1"/>
    <col min="5" max="5" width="10" style="72" hidden="1" customWidth="1"/>
    <col min="6" max="6" width="8.7109375" style="72" hidden="1" customWidth="1"/>
    <col min="7" max="7" width="7.5703125" style="72" hidden="1" customWidth="1"/>
    <col min="8" max="8" width="11.42578125" style="72" hidden="1" customWidth="1"/>
    <col min="9" max="9" width="14.140625" style="72" hidden="1" customWidth="1"/>
    <col min="10" max="10" width="9.85546875" style="72" hidden="1" customWidth="1"/>
    <col min="11" max="11" width="14.7109375" style="72" hidden="1" customWidth="1"/>
    <col min="12" max="12" width="19.140625" style="388" hidden="1" customWidth="1"/>
    <col min="13" max="14" width="12.28515625" style="541" hidden="1" customWidth="1"/>
    <col min="15" max="15" width="23.42578125" style="541" hidden="1" customWidth="1"/>
    <col min="16" max="16" width="3.7109375" style="42" customWidth="1"/>
    <col min="17" max="18" width="3.7109375" style="37" customWidth="1"/>
    <col min="19" max="19" width="12.7109375" style="368" customWidth="1"/>
    <col min="20" max="20" width="35.7109375" style="24" customWidth="1"/>
    <col min="21" max="21" width="0.140625" style="24" customWidth="1"/>
    <col min="22" max="24" width="24.7109375" style="24" hidden="1" customWidth="1"/>
    <col min="25" max="25" width="11.7109375" style="24" hidden="1" customWidth="1"/>
    <col min="26" max="26" width="3.7109375" style="24" hidden="1" customWidth="1"/>
    <col min="27" max="27" width="11.7109375" style="24" hidden="1" customWidth="1"/>
    <col min="28" max="28" width="8.5703125" style="24" hidden="1" customWidth="1"/>
    <col min="29" max="31" width="24.7109375" style="24" customWidth="1"/>
    <col min="32" max="32" width="11.7109375" style="24" customWidth="1"/>
    <col min="33" max="33" width="3.7109375" style="24" customWidth="1"/>
    <col min="34" max="34" width="11.7109375" style="24" customWidth="1"/>
    <col min="35" max="35" width="8.5703125" style="24" hidden="1" customWidth="1"/>
    <col min="36" max="36" width="4.7109375" style="24" customWidth="1"/>
    <col min="37" max="37" width="115.7109375" style="24" customWidth="1"/>
    <col min="38" max="39" width="10.5703125" style="77"/>
    <col min="40" max="40" width="11.140625" style="77" customWidth="1"/>
    <col min="41" max="42" width="10.5703125" style="77"/>
  </cols>
  <sheetData>
    <row r="1" spans="1:42" ht="14.25" hidden="1" customHeight="1"/>
    <row r="2" spans="1:42" ht="23.25" hidden="1" customHeight="1">
      <c r="A2" s="822"/>
      <c r="B2" s="822"/>
      <c r="C2" s="822"/>
      <c r="D2" s="822"/>
      <c r="E2" s="1337">
        <v>1</v>
      </c>
      <c r="F2" s="822"/>
      <c r="G2" s="822"/>
      <c r="H2" s="822"/>
      <c r="I2" s="822"/>
      <c r="J2" s="822"/>
      <c r="K2" s="822"/>
      <c r="L2" s="823"/>
      <c r="M2" s="452"/>
      <c r="N2" s="452"/>
      <c r="O2" s="452"/>
      <c r="Q2" s="43"/>
      <c r="R2" s="220"/>
      <c r="S2" s="755" t="e">
        <f>INDEX(PT_DIFFERENTIATION_NUM_NTAR,MATCH(A2,PT_DIFFERENTIATION_NTAR_ID,0))</f>
        <v>#N/A</v>
      </c>
      <c r="T2" s="76" t="s">
        <v>124</v>
      </c>
      <c r="U2" s="179"/>
      <c r="V2" s="1331"/>
      <c r="W2" s="1332"/>
      <c r="X2" s="1332"/>
      <c r="Y2" s="1332"/>
      <c r="Z2" s="1332"/>
      <c r="AA2" s="1332"/>
      <c r="AB2" s="1333"/>
      <c r="AC2" s="1331" t="e">
        <f>INDEX(PT_DIFFERENTIATION_NTAR,MATCH(A2,PT_DIFFERENTIATION_NTAR_ID,0))</f>
        <v>#N/A</v>
      </c>
      <c r="AD2" s="1332"/>
      <c r="AE2" s="1332"/>
      <c r="AF2" s="1332"/>
      <c r="AG2" s="1332"/>
      <c r="AH2" s="1332"/>
      <c r="AI2" s="1332"/>
      <c r="AJ2" s="1333"/>
      <c r="AK2" s="7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9"/>
      <c r="AN2" s="79" t="str">
        <f t="shared" ref="AN2:AN13" si="0">IF(T2="","",T2)</f>
        <v>Наименование тарифа</v>
      </c>
      <c r="AO2" s="79"/>
      <c r="AP2" s="79"/>
    </row>
    <row r="3" spans="1:42" ht="23.25" hidden="1" customHeight="1">
      <c r="A3" s="822"/>
      <c r="B3" s="822"/>
      <c r="C3" s="822"/>
      <c r="D3" s="822"/>
      <c r="E3" s="1338"/>
      <c r="F3" s="1337">
        <v>1</v>
      </c>
      <c r="G3" s="822"/>
      <c r="H3" s="822"/>
      <c r="I3" s="822"/>
      <c r="J3" s="822"/>
      <c r="K3" s="822"/>
      <c r="L3" s="823"/>
      <c r="M3" s="452"/>
      <c r="N3" s="452"/>
      <c r="O3" s="452"/>
      <c r="P3" s="68"/>
      <c r="Q3" s="217"/>
      <c r="R3" s="218"/>
      <c r="S3" s="755" t="e">
        <f>INDEX(PT_DIFFERENTIATION_NUM_TER,MATCH(B3,PT_DIFFERENTIATION_TER_ID,0))</f>
        <v>#N/A</v>
      </c>
      <c r="T3" s="187" t="s">
        <v>1462</v>
      </c>
      <c r="U3" s="179"/>
      <c r="V3" s="1331"/>
      <c r="W3" s="1332"/>
      <c r="X3" s="1332"/>
      <c r="Y3" s="1332"/>
      <c r="Z3" s="1332"/>
      <c r="AA3" s="1332"/>
      <c r="AB3" s="1333"/>
      <c r="AC3" s="1331" t="e">
        <f>INDEX(PT_DIFFERENTIATION_TER,MATCH(B3,PT_DIFFERENTIATION_TER_ID,0))</f>
        <v>#N/A</v>
      </c>
      <c r="AD3" s="1332"/>
      <c r="AE3" s="1332"/>
      <c r="AF3" s="1332"/>
      <c r="AG3" s="1332"/>
      <c r="AH3" s="1332"/>
      <c r="AI3" s="1332"/>
      <c r="AJ3" s="1333"/>
      <c r="AK3" s="782" t="s">
        <v>1463</v>
      </c>
      <c r="AM3" s="79"/>
      <c r="AN3" s="79" t="str">
        <f t="shared" si="0"/>
        <v>Территория действия тарифа</v>
      </c>
      <c r="AO3" s="79"/>
      <c r="AP3" s="79"/>
    </row>
    <row r="4" spans="1:42" ht="23.25" hidden="1" customHeight="1">
      <c r="A4" s="822"/>
      <c r="B4" s="822"/>
      <c r="C4" s="822"/>
      <c r="D4" s="822"/>
      <c r="E4" s="1338"/>
      <c r="F4" s="1338"/>
      <c r="G4" s="1337">
        <v>1</v>
      </c>
      <c r="H4" s="822"/>
      <c r="I4" s="822"/>
      <c r="J4" s="822"/>
      <c r="K4" s="822"/>
      <c r="L4" s="823"/>
      <c r="M4" s="452"/>
      <c r="N4" s="452"/>
      <c r="O4" s="452"/>
      <c r="P4" s="219"/>
      <c r="Q4" s="217"/>
      <c r="R4" s="218"/>
      <c r="S4" s="755" t="e">
        <f>INDEX(PT_DIFFERENTIATION_NUM_CS,MATCH(C4,PT_DIFFERENTIATION_CS_ID,0))</f>
        <v>#N/A</v>
      </c>
      <c r="T4" s="188" t="s">
        <v>1681</v>
      </c>
      <c r="U4" s="179"/>
      <c r="V4" s="1331"/>
      <c r="W4" s="1332"/>
      <c r="X4" s="1332"/>
      <c r="Y4" s="1332"/>
      <c r="Z4" s="1332"/>
      <c r="AA4" s="1332"/>
      <c r="AB4" s="1333"/>
      <c r="AC4" s="1331" t="e">
        <f>INDEX(PT_DIFFERENTIATION_CS,MATCH(C4,PT_DIFFERENTIATION_CS_ID,0))</f>
        <v>#N/A</v>
      </c>
      <c r="AD4" s="1332"/>
      <c r="AE4" s="1332"/>
      <c r="AF4" s="1332"/>
      <c r="AG4" s="1332"/>
      <c r="AH4" s="1332"/>
      <c r="AI4" s="1332"/>
      <c r="AJ4" s="1333"/>
      <c r="AK4" s="782" t="s">
        <v>1682</v>
      </c>
      <c r="AM4" s="79"/>
      <c r="AN4" s="79" t="str">
        <f t="shared" si="0"/>
        <v>Наименование централизованной системы холодного водоснабжения</v>
      </c>
      <c r="AO4" s="79"/>
      <c r="AP4" s="79"/>
    </row>
    <row r="5" spans="1:42" ht="23.25" hidden="1" customHeight="1">
      <c r="A5" s="822"/>
      <c r="B5" s="822"/>
      <c r="C5" s="822"/>
      <c r="D5" s="822"/>
      <c r="E5" s="1338"/>
      <c r="F5" s="1338"/>
      <c r="G5" s="1338"/>
      <c r="H5" s="1338"/>
      <c r="I5" s="1339" t="e">
        <f>S4&amp;".1"</f>
        <v>#N/A</v>
      </c>
      <c r="J5" s="822"/>
      <c r="K5" s="822"/>
      <c r="L5" s="823"/>
      <c r="P5" s="1259">
        <v>1</v>
      </c>
      <c r="Q5" s="127"/>
      <c r="R5" s="221"/>
      <c r="S5" s="755" t="e">
        <f>$I5</f>
        <v>#N/A</v>
      </c>
      <c r="T5" s="172" t="s">
        <v>1683</v>
      </c>
      <c r="U5" s="179"/>
      <c r="V5" s="1429"/>
      <c r="W5" s="1430"/>
      <c r="X5" s="1430"/>
      <c r="Y5" s="1430"/>
      <c r="Z5" s="1430"/>
      <c r="AA5" s="1430"/>
      <c r="AB5" s="1431"/>
      <c r="AC5" s="1432"/>
      <c r="AD5" s="1433"/>
      <c r="AE5" s="1433"/>
      <c r="AF5" s="1433"/>
      <c r="AG5" s="1433"/>
      <c r="AH5" s="1433"/>
      <c r="AI5" s="1433"/>
      <c r="AJ5" s="1434"/>
      <c r="AK5" s="782" t="s">
        <v>1684</v>
      </c>
      <c r="AM5" s="79"/>
      <c r="AN5" s="79" t="str">
        <f t="shared" si="0"/>
        <v>Наименование признака дифференциации</v>
      </c>
      <c r="AO5" s="79"/>
      <c r="AP5" s="79"/>
    </row>
    <row r="6" spans="1:42" ht="23.25" hidden="1" customHeight="1">
      <c r="A6" s="822"/>
      <c r="B6" s="822"/>
      <c r="C6" s="822"/>
      <c r="D6" s="822"/>
      <c r="E6" s="1338"/>
      <c r="F6" s="1338"/>
      <c r="G6" s="1338"/>
      <c r="H6" s="1338"/>
      <c r="I6" s="1340"/>
      <c r="J6" s="1339" t="e">
        <f>I5&amp;".1"</f>
        <v>#N/A</v>
      </c>
      <c r="K6" s="822"/>
      <c r="L6" s="823" t="s">
        <v>1471</v>
      </c>
      <c r="P6" s="1259"/>
      <c r="Q6" s="1259">
        <v>1</v>
      </c>
      <c r="R6" s="222"/>
      <c r="S6" s="755" t="e">
        <f>$J6</f>
        <v>#N/A</v>
      </c>
      <c r="T6" s="173" t="s">
        <v>1472</v>
      </c>
      <c r="U6" s="179"/>
      <c r="V6" s="1326"/>
      <c r="W6" s="1327"/>
      <c r="X6" s="1327"/>
      <c r="Y6" s="1327"/>
      <c r="Z6" s="1327"/>
      <c r="AA6" s="1327"/>
      <c r="AB6" s="1328"/>
      <c r="AC6" s="1326"/>
      <c r="AD6" s="1327"/>
      <c r="AE6" s="1327"/>
      <c r="AF6" s="1327"/>
      <c r="AG6" s="1327"/>
      <c r="AH6" s="1327"/>
      <c r="AI6" s="1327"/>
      <c r="AJ6" s="1328"/>
      <c r="AK6" s="809" t="s">
        <v>1685</v>
      </c>
      <c r="AM6" s="79"/>
      <c r="AN6" s="79" t="str">
        <f t="shared" si="0"/>
        <v>Группа потребителей</v>
      </c>
      <c r="AO6" s="79"/>
      <c r="AP6" s="79"/>
    </row>
    <row r="7" spans="1:42" ht="23.25" hidden="1" customHeight="1">
      <c r="A7" s="822"/>
      <c r="B7" s="822"/>
      <c r="C7" s="822"/>
      <c r="D7" s="822"/>
      <c r="E7" s="1338"/>
      <c r="F7" s="1338"/>
      <c r="G7" s="1338"/>
      <c r="H7" s="1338"/>
      <c r="I7" s="1340"/>
      <c r="J7" s="1340"/>
      <c r="K7" s="1339" t="e">
        <f>J6&amp;".1"</f>
        <v>#N/A</v>
      </c>
      <c r="L7" s="823"/>
      <c r="P7" s="1259"/>
      <c r="Q7" s="1259"/>
      <c r="R7" s="222">
        <v>1</v>
      </c>
      <c r="S7" s="755" t="e">
        <f>$K7</f>
        <v>#N/A</v>
      </c>
      <c r="T7" s="853"/>
      <c r="U7" s="179"/>
      <c r="V7" s="1054"/>
      <c r="W7" s="1054"/>
      <c r="X7" s="1056"/>
      <c r="Y7" s="1341"/>
      <c r="Z7" s="1133" t="s">
        <v>67</v>
      </c>
      <c r="AA7" s="1341"/>
      <c r="AB7" s="1133" t="s">
        <v>67</v>
      </c>
      <c r="AC7" s="1054"/>
      <c r="AD7" s="1054"/>
      <c r="AE7" s="1056"/>
      <c r="AF7" s="1341"/>
      <c r="AG7" s="1133" t="s">
        <v>67</v>
      </c>
      <c r="AH7" s="1343"/>
      <c r="AI7" s="1133" t="s">
        <v>67</v>
      </c>
      <c r="AJ7" s="1082"/>
      <c r="AK7" s="143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7" t="e">
        <f ca="1">STRCHECKDATE(V8:AJ8)</f>
        <v>#NAME?</v>
      </c>
      <c r="AM7" s="79"/>
      <c r="AN7" s="79" t="str">
        <f t="shared" si="0"/>
        <v/>
      </c>
      <c r="AO7" s="79"/>
      <c r="AP7" s="79"/>
    </row>
    <row r="8" spans="1:42" ht="0.75" hidden="1" customHeight="1">
      <c r="A8" s="822"/>
      <c r="B8" s="822"/>
      <c r="C8" s="822"/>
      <c r="D8" s="822"/>
      <c r="E8" s="1338"/>
      <c r="F8" s="1338"/>
      <c r="G8" s="1338"/>
      <c r="H8" s="1338"/>
      <c r="I8" s="1340"/>
      <c r="J8" s="1340"/>
      <c r="K8" s="1339"/>
      <c r="L8" s="823"/>
      <c r="P8" s="1259"/>
      <c r="Q8" s="1259"/>
      <c r="R8" s="222"/>
      <c r="S8" s="74"/>
      <c r="T8" s="179"/>
      <c r="U8" s="179"/>
      <c r="V8" s="1055"/>
      <c r="W8" s="1055"/>
      <c r="X8" s="1057" t="str">
        <f>Y7&amp;"-"&amp;AA7</f>
        <v>-</v>
      </c>
      <c r="Y8" s="1342"/>
      <c r="Z8" s="1133"/>
      <c r="AA8" s="1342"/>
      <c r="AB8" s="1133"/>
      <c r="AC8" s="1055"/>
      <c r="AD8" s="1055"/>
      <c r="AE8" s="1057" t="str">
        <f>AF7&amp;"-"&amp;AH7</f>
        <v>-</v>
      </c>
      <c r="AF8" s="1342"/>
      <c r="AG8" s="1133"/>
      <c r="AH8" s="1344"/>
      <c r="AI8" s="1133"/>
      <c r="AJ8" s="1083"/>
      <c r="AK8" s="1435"/>
      <c r="AM8" s="79"/>
      <c r="AN8" s="79" t="str">
        <f t="shared" si="0"/>
        <v/>
      </c>
      <c r="AO8" s="79"/>
      <c r="AP8" s="79"/>
    </row>
    <row r="9" spans="1:42" ht="21" hidden="1" customHeight="1">
      <c r="A9" s="822"/>
      <c r="B9" s="822"/>
      <c r="C9" s="822"/>
      <c r="D9" s="822"/>
      <c r="E9" s="1338"/>
      <c r="F9" s="1338"/>
      <c r="G9" s="1338"/>
      <c r="H9" s="1338"/>
      <c r="I9" s="1340"/>
      <c r="J9" s="1339"/>
      <c r="K9" s="822"/>
      <c r="L9" s="823"/>
      <c r="P9" s="1259"/>
      <c r="Q9" s="1259"/>
      <c r="R9" s="221"/>
      <c r="S9" s="796"/>
      <c r="T9" s="174" t="s">
        <v>1686</v>
      </c>
      <c r="U9" s="228"/>
      <c r="V9" s="228"/>
      <c r="W9" s="228"/>
      <c r="X9" s="228"/>
      <c r="Y9" s="228"/>
      <c r="Z9" s="228"/>
      <c r="AA9" s="228"/>
      <c r="AB9" s="228"/>
      <c r="AC9" s="228"/>
      <c r="AD9" s="228"/>
      <c r="AE9" s="228"/>
      <c r="AF9" s="228"/>
      <c r="AG9" s="228"/>
      <c r="AH9" s="228"/>
      <c r="AI9" s="228"/>
      <c r="AJ9" s="228"/>
      <c r="AK9" s="782" t="s">
        <v>1687</v>
      </c>
      <c r="AM9" s="79"/>
      <c r="AN9" s="79" t="str">
        <f t="shared" si="0"/>
        <v>Добавить значение признака дифференциации</v>
      </c>
      <c r="AO9" s="79"/>
      <c r="AP9" s="79"/>
    </row>
    <row r="10" spans="1:42" ht="21" hidden="1" customHeight="1">
      <c r="A10" s="822"/>
      <c r="B10" s="822"/>
      <c r="C10" s="822"/>
      <c r="D10" s="822"/>
      <c r="E10" s="1338"/>
      <c r="F10" s="1338"/>
      <c r="G10" s="1338"/>
      <c r="H10" s="1338"/>
      <c r="I10" s="1339"/>
      <c r="J10" s="822"/>
      <c r="K10" s="822"/>
      <c r="L10" s="823"/>
      <c r="P10" s="1259"/>
      <c r="Q10" s="127"/>
      <c r="R10" s="221"/>
      <c r="S10" s="796"/>
      <c r="T10" s="226" t="s">
        <v>1477</v>
      </c>
      <c r="U10" s="228"/>
      <c r="V10" s="228"/>
      <c r="W10" s="228"/>
      <c r="X10" s="228"/>
      <c r="Y10" s="228"/>
      <c r="Z10" s="228"/>
      <c r="AA10" s="228"/>
      <c r="AB10" s="205"/>
      <c r="AC10" s="228"/>
      <c r="AD10" s="228"/>
      <c r="AE10" s="228"/>
      <c r="AF10" s="228"/>
      <c r="AG10" s="228"/>
      <c r="AH10" s="228"/>
      <c r="AI10" s="205"/>
      <c r="AJ10" s="228"/>
      <c r="AK10" s="854"/>
      <c r="AM10" s="79"/>
      <c r="AN10" s="79" t="str">
        <f t="shared" si="0"/>
        <v>Добавить группу потребителей</v>
      </c>
      <c r="AO10" s="79"/>
      <c r="AP10" s="79"/>
    </row>
    <row r="11" spans="1:42" ht="21" hidden="1" customHeight="1">
      <c r="A11" s="822"/>
      <c r="B11" s="822"/>
      <c r="C11" s="822"/>
      <c r="D11" s="822"/>
      <c r="E11" s="1338"/>
      <c r="F11" s="1338"/>
      <c r="G11" s="1338"/>
      <c r="H11" s="1337"/>
      <c r="I11" s="822"/>
      <c r="J11" s="822"/>
      <c r="K11" s="822"/>
      <c r="L11" s="823"/>
      <c r="M11" s="452"/>
      <c r="N11" s="452"/>
      <c r="O11" s="72"/>
      <c r="P11" s="43"/>
      <c r="Q11" s="231"/>
      <c r="R11" s="220"/>
      <c r="S11" s="796"/>
      <c r="T11" s="113" t="s">
        <v>1688</v>
      </c>
      <c r="U11" s="228"/>
      <c r="V11" s="228"/>
      <c r="W11" s="228"/>
      <c r="X11" s="228"/>
      <c r="Y11" s="228"/>
      <c r="Z11" s="228"/>
      <c r="AA11" s="228"/>
      <c r="AB11" s="205"/>
      <c r="AC11" s="228"/>
      <c r="AD11" s="228"/>
      <c r="AE11" s="228"/>
      <c r="AF11" s="228"/>
      <c r="AG11" s="228"/>
      <c r="AH11" s="228"/>
      <c r="AI11" s="205"/>
      <c r="AJ11" s="228"/>
      <c r="AK11" s="182"/>
      <c r="AM11" s="79"/>
      <c r="AN11" s="79" t="str">
        <f t="shared" si="0"/>
        <v>Добавить наименование признака дифференциации</v>
      </c>
      <c r="AO11" s="79"/>
      <c r="AP11" s="79"/>
    </row>
    <row r="12" spans="1:42" s="77" customFormat="1" ht="0.75" hidden="1" customHeight="1">
      <c r="A12" s="150"/>
      <c r="B12" s="150"/>
      <c r="C12" s="150"/>
      <c r="D12" s="150"/>
      <c r="E12" s="1338"/>
      <c r="F12" s="1337"/>
      <c r="G12" s="150"/>
      <c r="H12" s="150"/>
      <c r="I12" s="150"/>
      <c r="J12" s="150"/>
      <c r="K12" s="150"/>
      <c r="L12" s="373"/>
      <c r="M12" s="815"/>
      <c r="N12" s="815"/>
      <c r="P12" s="111"/>
      <c r="Q12" s="811"/>
      <c r="R12" s="111"/>
      <c r="S12" s="816"/>
      <c r="T12" s="818" t="s">
        <v>1438</v>
      </c>
      <c r="U12" s="338"/>
      <c r="V12" s="338"/>
      <c r="W12" s="338"/>
      <c r="X12" s="338"/>
      <c r="Y12" s="338"/>
      <c r="Z12" s="338"/>
      <c r="AA12" s="338"/>
      <c r="AB12" s="338"/>
      <c r="AC12" s="338"/>
      <c r="AD12" s="338"/>
      <c r="AE12" s="338"/>
      <c r="AF12" s="338"/>
      <c r="AG12" s="338"/>
      <c r="AH12" s="338"/>
      <c r="AI12" s="338"/>
      <c r="AJ12" s="338"/>
      <c r="AK12" s="338"/>
      <c r="AM12" s="79"/>
      <c r="AN12" s="79" t="str">
        <f t="shared" si="0"/>
        <v>Добавить централизованную систему для дифференциации</v>
      </c>
      <c r="AO12" s="79"/>
      <c r="AP12" s="79"/>
    </row>
    <row r="13" spans="1:42" s="77" customFormat="1" ht="0.75" hidden="1" customHeight="1">
      <c r="A13" s="150"/>
      <c r="B13" s="150"/>
      <c r="C13" s="150"/>
      <c r="D13" s="150"/>
      <c r="E13" s="1337"/>
      <c r="F13" s="150"/>
      <c r="G13" s="150"/>
      <c r="H13" s="150"/>
      <c r="I13" s="150"/>
      <c r="J13" s="150"/>
      <c r="K13" s="150"/>
      <c r="L13" s="373"/>
      <c r="M13" s="815"/>
      <c r="N13" s="815"/>
      <c r="P13" s="111"/>
      <c r="Q13" s="811"/>
      <c r="R13" s="111"/>
      <c r="S13" s="816"/>
      <c r="T13" s="818" t="s">
        <v>1439</v>
      </c>
      <c r="U13" s="338"/>
      <c r="V13" s="338"/>
      <c r="W13" s="338"/>
      <c r="X13" s="338"/>
      <c r="Y13" s="338"/>
      <c r="Z13" s="338"/>
      <c r="AA13" s="338"/>
      <c r="AB13" s="338"/>
      <c r="AC13" s="338"/>
      <c r="AD13" s="338"/>
      <c r="AE13" s="338"/>
      <c r="AF13" s="338"/>
      <c r="AG13" s="338"/>
      <c r="AH13" s="338"/>
      <c r="AI13" s="338"/>
      <c r="AJ13" s="338"/>
      <c r="AK13" s="338"/>
      <c r="AM13" s="79"/>
      <c r="AN13" s="79" t="str">
        <f t="shared" si="0"/>
        <v>Добавить территорию для дифференциации</v>
      </c>
      <c r="AO13" s="79"/>
      <c r="AP13" s="79"/>
    </row>
    <row r="14" spans="1:42" ht="14.25" hidden="1" customHeight="1"/>
    <row r="15" spans="1:42" ht="14.25" hidden="1" customHeight="1">
      <c r="AC15" s="1058"/>
      <c r="AD15" s="1058"/>
      <c r="AE15" s="1059"/>
      <c r="AF15" s="1335"/>
      <c r="AG15" s="1334" t="s">
        <v>67</v>
      </c>
      <c r="AH15" s="1335"/>
      <c r="AI15" s="1334" t="s">
        <v>67</v>
      </c>
    </row>
    <row r="16" spans="1:42" ht="14.25" hidden="1" customHeight="1">
      <c r="AC16" s="1058"/>
      <c r="AD16" s="1058"/>
      <c r="AE16" s="1057" t="str">
        <f>AF15&amp;"-"&amp;AH15</f>
        <v>-</v>
      </c>
      <c r="AF16" s="1334"/>
      <c r="AG16" s="1334"/>
      <c r="AH16" s="1334"/>
      <c r="AI16" s="1334"/>
    </row>
    <row r="17" spans="1:42" ht="14.25" hidden="1" customHeight="1"/>
    <row r="18" spans="1:42" s="72" customFormat="1" ht="22.5" hidden="1" customHeight="1">
      <c r="L18" s="388"/>
      <c r="M18" s="541"/>
      <c r="N18" s="541"/>
      <c r="O18" s="824" t="s">
        <v>1479</v>
      </c>
      <c r="P18" s="541"/>
      <c r="Q18" s="825"/>
      <c r="R18" s="825"/>
      <c r="S18" s="452"/>
      <c r="Y18" s="824"/>
      <c r="AA18" s="824"/>
      <c r="AF18" s="824"/>
      <c r="AH18" s="824"/>
      <c r="AL18" s="77"/>
      <c r="AM18" s="77"/>
      <c r="AN18" s="77"/>
      <c r="AO18" s="77"/>
      <c r="AP18" s="77"/>
    </row>
    <row r="19" spans="1:42" s="72" customFormat="1" ht="14.25" hidden="1" customHeight="1">
      <c r="L19" s="388"/>
      <c r="M19" s="541"/>
      <c r="N19" s="541"/>
      <c r="O19" s="541"/>
      <c r="P19" s="541"/>
      <c r="Q19" s="825"/>
      <c r="R19" s="825"/>
      <c r="S19" s="452"/>
      <c r="AL19" s="77"/>
      <c r="AM19" s="77"/>
      <c r="AN19" s="77"/>
      <c r="AO19" s="77"/>
      <c r="AP19" s="77"/>
    </row>
    <row r="20" spans="1:42" s="72" customFormat="1" ht="12" hidden="1" customHeight="1">
      <c r="L20" s="388"/>
      <c r="M20" s="541"/>
      <c r="N20" s="541"/>
      <c r="O20" s="823" t="s">
        <v>1480</v>
      </c>
      <c r="P20" s="541"/>
      <c r="Q20" s="855"/>
      <c r="R20" s="855"/>
      <c r="S20" s="452"/>
      <c r="T20" s="72" t="s">
        <v>1481</v>
      </c>
      <c r="Z20" s="91" t="s">
        <v>1482</v>
      </c>
      <c r="AB20" s="91" t="s">
        <v>1483</v>
      </c>
      <c r="AC20" s="72" t="s">
        <v>1481</v>
      </c>
      <c r="AG20" s="91" t="s">
        <v>1484</v>
      </c>
      <c r="AI20" s="91" t="s">
        <v>1483</v>
      </c>
    </row>
    <row r="21" spans="1:42" ht="14.25" hidden="1" customHeight="1">
      <c r="O21" s="823"/>
    </row>
    <row r="22" spans="1:42" ht="14.25" hidden="1" customHeight="1">
      <c r="O22" s="823"/>
    </row>
    <row r="23" spans="1:42" ht="14.25" customHeight="1">
      <c r="Q23" s="36"/>
      <c r="R23" s="36"/>
      <c r="S23" s="793"/>
      <c r="T23" s="25"/>
      <c r="U23" s="25"/>
    </row>
    <row r="24" spans="1:42" ht="32.25" customHeight="1">
      <c r="Q24" s="36"/>
      <c r="R24" s="36"/>
      <c r="S24" s="1181"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1181"/>
      <c r="U24" s="1181"/>
      <c r="V24" s="1181"/>
      <c r="W24" s="1181"/>
      <c r="X24" s="1181"/>
      <c r="Y24" s="1181"/>
      <c r="Z24" s="1181"/>
      <c r="AA24" s="1181"/>
      <c r="AB24" s="1181"/>
      <c r="AC24" s="1181"/>
      <c r="AD24" s="1181"/>
      <c r="AE24" s="1181"/>
      <c r="AF24" s="1181"/>
      <c r="AG24" s="1181"/>
      <c r="AH24" s="1181"/>
      <c r="AI24" s="69"/>
    </row>
    <row r="25" spans="1:42" ht="14.25" customHeight="1">
      <c r="Q25" s="36"/>
      <c r="R25" s="36"/>
      <c r="S25" s="1204" t="str">
        <f>IF(org=0,"Не определено",org)</f>
        <v>ООО "ТЕПЛО ПЛЮС"</v>
      </c>
      <c r="T25" s="1204"/>
      <c r="U25" s="1204"/>
      <c r="V25" s="1204"/>
      <c r="W25" s="1204"/>
      <c r="X25" s="1204"/>
      <c r="Y25" s="1204"/>
      <c r="Z25" s="1204"/>
      <c r="AA25" s="1204"/>
      <c r="AB25" s="1204"/>
      <c r="AC25" s="1204"/>
      <c r="AD25" s="1204"/>
      <c r="AE25" s="1204"/>
      <c r="AF25" s="1204"/>
      <c r="AG25" s="1204"/>
      <c r="AH25" s="1204"/>
      <c r="AI25" s="69"/>
    </row>
    <row r="26" spans="1:42" ht="14.25" hidden="1" customHeight="1">
      <c r="Q26" s="36"/>
      <c r="R26" s="36"/>
      <c r="S26" s="793"/>
      <c r="T26" s="25"/>
      <c r="U26" s="25"/>
      <c r="V26" s="202"/>
      <c r="W26" s="202"/>
      <c r="X26" s="202"/>
      <c r="Y26" s="202"/>
      <c r="Z26" s="202"/>
      <c r="AA26" s="202"/>
      <c r="AB26" s="202"/>
      <c r="AC26" s="202"/>
      <c r="AD26" s="202"/>
      <c r="AE26" s="202"/>
      <c r="AF26" s="202"/>
      <c r="AG26" s="202"/>
      <c r="AH26" s="202"/>
      <c r="AI26" s="202"/>
    </row>
    <row r="27" spans="1:42" s="44" customFormat="1" ht="25.5" hidden="1" customHeight="1">
      <c r="A27" s="91"/>
      <c r="B27" s="91"/>
      <c r="C27" s="91"/>
      <c r="D27" s="91"/>
      <c r="E27" s="91"/>
      <c r="F27" s="91"/>
      <c r="G27" s="91"/>
      <c r="H27" s="91"/>
      <c r="I27" s="91"/>
      <c r="J27" s="91"/>
      <c r="K27" s="91"/>
      <c r="L27" s="823"/>
      <c r="M27" s="91"/>
      <c r="N27" s="91"/>
      <c r="O27" s="91"/>
      <c r="S27" s="1329" t="s">
        <v>39</v>
      </c>
      <c r="T27" s="1329"/>
      <c r="U27" s="826"/>
      <c r="V27" s="1330" t="str">
        <f>IF(TITLE_NAME_OR_PR_CHANGE="",IF(TITLE_NAME_OR_PR="","",TITLE_NAME_OR_PR),TITLE_NAME_OR_PR_CHANGE)</f>
        <v/>
      </c>
      <c r="W27" s="1330"/>
      <c r="X27" s="1330"/>
      <c r="Y27" s="1330"/>
      <c r="Z27" s="1330"/>
      <c r="AA27" s="1330"/>
      <c r="AB27" s="24"/>
      <c r="AC27" s="1330" t="str">
        <f>IF(TITLE_NAME_OR_PR_CHANGE="",IF(TITLE_NAME_OR_PR="","",TITLE_NAME_OR_PR),TITLE_NAME_OR_PR_CHANGE)</f>
        <v/>
      </c>
      <c r="AD27" s="1330"/>
      <c r="AE27" s="1330"/>
      <c r="AF27" s="1330"/>
      <c r="AG27" s="1330"/>
      <c r="AH27" s="1330"/>
      <c r="AI27" s="24"/>
      <c r="AJ27" s="24"/>
      <c r="AK27" s="171"/>
      <c r="AL27" s="79"/>
      <c r="AM27" s="79"/>
      <c r="AN27" s="79"/>
      <c r="AO27" s="79"/>
      <c r="AP27" s="79"/>
    </row>
    <row r="28" spans="1:42" s="44" customFormat="1" ht="18.75" hidden="1" customHeight="1">
      <c r="A28" s="91"/>
      <c r="B28" s="91"/>
      <c r="C28" s="91"/>
      <c r="D28" s="91"/>
      <c r="E28" s="91"/>
      <c r="F28" s="91"/>
      <c r="G28" s="91"/>
      <c r="H28" s="91"/>
      <c r="I28" s="91"/>
      <c r="J28" s="91"/>
      <c r="K28" s="91"/>
      <c r="L28" s="823"/>
      <c r="M28" s="91"/>
      <c r="N28" s="91"/>
      <c r="O28" s="91"/>
      <c r="S28" s="1329" t="s">
        <v>1485</v>
      </c>
      <c r="T28" s="1329"/>
      <c r="U28" s="826"/>
      <c r="V28" s="1330" t="str">
        <f>IF(TITLE_DATE_CHANGE_PERIOD="",IF(TITLE_DATE_PR="","",TITLE_DATE_PR),TITLE_DATE_CHANGE_PERIOD)</f>
        <v/>
      </c>
      <c r="W28" s="1330"/>
      <c r="X28" s="1330"/>
      <c r="Y28" s="1330"/>
      <c r="Z28" s="1330"/>
      <c r="AA28" s="1330"/>
      <c r="AB28" s="24"/>
      <c r="AC28" s="1330" t="str">
        <f>IF(TITLE_DATE_CHANGE_PERIOD="",IF(TITLE_DATE_PR="","",TITLE_DATE_PR),TITLE_DATE_CHANGE_PERIOD)</f>
        <v/>
      </c>
      <c r="AD28" s="1330"/>
      <c r="AE28" s="1330"/>
      <c r="AF28" s="1330"/>
      <c r="AG28" s="1330"/>
      <c r="AH28" s="1330"/>
      <c r="AI28" s="24"/>
      <c r="AJ28" s="24"/>
      <c r="AK28" s="171"/>
      <c r="AL28" s="79"/>
      <c r="AM28" s="79"/>
      <c r="AN28" s="79"/>
      <c r="AO28" s="79"/>
      <c r="AP28" s="79"/>
    </row>
    <row r="29" spans="1:42" s="44" customFormat="1" ht="18.75" hidden="1" customHeight="1">
      <c r="A29" s="91"/>
      <c r="B29" s="91"/>
      <c r="C29" s="91"/>
      <c r="D29" s="91"/>
      <c r="E29" s="91"/>
      <c r="F29" s="91"/>
      <c r="G29" s="91"/>
      <c r="H29" s="91"/>
      <c r="I29" s="91"/>
      <c r="J29" s="91"/>
      <c r="K29" s="91"/>
      <c r="L29" s="823"/>
      <c r="M29" s="91"/>
      <c r="N29" s="91"/>
      <c r="O29" s="91"/>
      <c r="S29" s="1329" t="s">
        <v>1486</v>
      </c>
      <c r="T29" s="1329"/>
      <c r="U29" s="826"/>
      <c r="V29" s="1330" t="str">
        <f>IF(TITLE_NUMBER_PR_CHANGE="",IF(TITLE_NUMBER_PR="","",TITLE_NUMBER_PR),TITLE_NUMBER_PR_CHANGE)</f>
        <v/>
      </c>
      <c r="W29" s="1330"/>
      <c r="X29" s="1330"/>
      <c r="Y29" s="1330"/>
      <c r="Z29" s="1330"/>
      <c r="AA29" s="1330"/>
      <c r="AB29" s="24"/>
      <c r="AC29" s="1330" t="str">
        <f>IF(TITLE_NUMBER_PR_CHANGE="",IF(TITLE_NUMBER_PR="","",TITLE_NUMBER_PR),TITLE_NUMBER_PR_CHANGE)</f>
        <v/>
      </c>
      <c r="AD29" s="1330"/>
      <c r="AE29" s="1330"/>
      <c r="AF29" s="1330"/>
      <c r="AG29" s="1330"/>
      <c r="AH29" s="1330"/>
      <c r="AI29" s="24"/>
      <c r="AJ29" s="24"/>
      <c r="AK29" s="171"/>
      <c r="AL29" s="79"/>
      <c r="AM29" s="79"/>
      <c r="AN29" s="79"/>
      <c r="AO29" s="79"/>
      <c r="AP29" s="79"/>
    </row>
    <row r="30" spans="1:42" s="44" customFormat="1" ht="18.75" hidden="1" customHeight="1">
      <c r="A30" s="91"/>
      <c r="B30" s="91"/>
      <c r="C30" s="91"/>
      <c r="D30" s="91"/>
      <c r="E30" s="91"/>
      <c r="F30" s="91"/>
      <c r="G30" s="91"/>
      <c r="H30" s="91"/>
      <c r="I30" s="91"/>
      <c r="J30" s="91"/>
      <c r="K30" s="91"/>
      <c r="L30" s="823"/>
      <c r="M30" s="91"/>
      <c r="N30" s="91"/>
      <c r="O30" s="91"/>
      <c r="S30" s="1329" t="s">
        <v>40</v>
      </c>
      <c r="T30" s="1329"/>
      <c r="U30" s="826"/>
      <c r="V30" s="1330" t="str">
        <f>IF(TITLE_IST_PUB_CHANGE="",IF(TITLE_IST_PUB="","",TITLE_IST_PUB),TITLE_IST_PUB_CHANGE)</f>
        <v/>
      </c>
      <c r="W30" s="1330"/>
      <c r="X30" s="1330"/>
      <c r="Y30" s="1330"/>
      <c r="Z30" s="1330"/>
      <c r="AA30" s="1330"/>
      <c r="AB30" s="24"/>
      <c r="AC30" s="1330" t="str">
        <f>IF(TITLE_IST_PUB_CHANGE="",IF(TITLE_IST_PUB="","",TITLE_IST_PUB),TITLE_IST_PUB_CHANGE)</f>
        <v/>
      </c>
      <c r="AD30" s="1330"/>
      <c r="AE30" s="1330"/>
      <c r="AF30" s="1330"/>
      <c r="AG30" s="1330"/>
      <c r="AH30" s="1330"/>
      <c r="AI30" s="24"/>
      <c r="AJ30" s="24"/>
      <c r="AK30" s="171"/>
      <c r="AL30" s="79"/>
      <c r="AM30" s="79"/>
      <c r="AN30" s="79"/>
      <c r="AO30" s="79"/>
      <c r="AP30" s="79"/>
    </row>
    <row r="31" spans="1:42" ht="14.25" hidden="1" customHeight="1">
      <c r="Q31" s="36"/>
      <c r="R31" s="36"/>
      <c r="S31" s="793"/>
      <c r="T31" s="25"/>
      <c r="U31" s="25"/>
      <c r="V31" s="202"/>
      <c r="W31" s="202"/>
      <c r="X31" s="202"/>
      <c r="Y31" s="202"/>
      <c r="Z31" s="202"/>
      <c r="AA31" s="202"/>
      <c r="AB31" s="202"/>
      <c r="AC31" s="202"/>
      <c r="AD31" s="202"/>
      <c r="AE31" s="202"/>
      <c r="AF31" s="202"/>
      <c r="AG31" s="202"/>
      <c r="AH31" s="202"/>
      <c r="AI31" s="202"/>
    </row>
    <row r="32" spans="1:42" s="44" customFormat="1" ht="18.75" hidden="1" customHeight="1">
      <c r="A32" s="91"/>
      <c r="B32" s="91"/>
      <c r="C32" s="91"/>
      <c r="D32" s="91"/>
      <c r="E32" s="91"/>
      <c r="F32" s="91"/>
      <c r="G32" s="91"/>
      <c r="H32" s="91"/>
      <c r="I32" s="91"/>
      <c r="J32" s="91"/>
      <c r="K32" s="91"/>
      <c r="L32" s="823"/>
      <c r="M32" s="91"/>
      <c r="N32" s="91"/>
      <c r="O32" s="91"/>
      <c r="S32" s="1329" t="s">
        <v>1487</v>
      </c>
      <c r="T32" s="1329"/>
      <c r="U32" s="826"/>
      <c r="V32" s="1330" t="str">
        <f>IF(TITLE_DATE_CHANGE_PERIOD="",IF(TITLE_DATE_PR="","",TITLE_DATE_PR),TITLE_DATE_CHANGE_PERIOD)</f>
        <v/>
      </c>
      <c r="W32" s="1330"/>
      <c r="X32" s="1330"/>
      <c r="Y32" s="1330"/>
      <c r="Z32" s="1330"/>
      <c r="AA32" s="1330"/>
      <c r="AB32" s="24"/>
      <c r="AC32" s="1330" t="str">
        <f>IF(TITLE_DATE_CHANGE_PERIOD="",IF(TITLE_DATE_PR="","",TITLE_DATE_PR),TITLE_DATE_CHANGE_PERIOD)</f>
        <v/>
      </c>
      <c r="AD32" s="1330"/>
      <c r="AE32" s="1330"/>
      <c r="AF32" s="1330"/>
      <c r="AG32" s="1330"/>
      <c r="AH32" s="1330"/>
      <c r="AI32" s="24"/>
      <c r="AJ32" s="24"/>
      <c r="AK32" s="171"/>
      <c r="AL32" s="79"/>
      <c r="AM32" s="79"/>
      <c r="AN32" s="79"/>
      <c r="AO32" s="79"/>
      <c r="AP32" s="79"/>
    </row>
    <row r="33" spans="1:42" s="44" customFormat="1" ht="18.75" hidden="1" customHeight="1">
      <c r="A33" s="91"/>
      <c r="B33" s="91"/>
      <c r="C33" s="91"/>
      <c r="D33" s="91"/>
      <c r="E33" s="91"/>
      <c r="F33" s="91"/>
      <c r="G33" s="91"/>
      <c r="H33" s="91"/>
      <c r="I33" s="91"/>
      <c r="J33" s="91"/>
      <c r="K33" s="91"/>
      <c r="L33" s="823"/>
      <c r="M33" s="91"/>
      <c r="N33" s="91"/>
      <c r="O33" s="91"/>
      <c r="S33" s="1329" t="s">
        <v>1488</v>
      </c>
      <c r="T33" s="1329"/>
      <c r="U33" s="826"/>
      <c r="V33" s="1330" t="str">
        <f>IF(TITLE_NUMBER_PR_CHANGE="",IF(TITLE_NUMBER_PR="","",TITLE_NUMBER_PR),TITLE_NUMBER_PR_CHANGE)</f>
        <v/>
      </c>
      <c r="W33" s="1330"/>
      <c r="X33" s="1330"/>
      <c r="Y33" s="1330"/>
      <c r="Z33" s="1330"/>
      <c r="AA33" s="1330"/>
      <c r="AB33" s="24"/>
      <c r="AC33" s="1330" t="str">
        <f>IF(TITLE_NUMBER_PR_CHANGE="",IF(TITLE_NUMBER_PR="","",TITLE_NUMBER_PR),TITLE_NUMBER_PR_CHANGE)</f>
        <v/>
      </c>
      <c r="AD33" s="1330"/>
      <c r="AE33" s="1330"/>
      <c r="AF33" s="1330"/>
      <c r="AG33" s="1330"/>
      <c r="AH33" s="1330"/>
      <c r="AI33" s="24"/>
      <c r="AJ33" s="24"/>
      <c r="AK33" s="171"/>
      <c r="AL33" s="79"/>
      <c r="AM33" s="79"/>
      <c r="AN33" s="79"/>
      <c r="AO33" s="79"/>
      <c r="AP33" s="79"/>
    </row>
    <row r="34" spans="1:42" s="44" customFormat="1" ht="0.75" customHeight="1">
      <c r="A34" s="91"/>
      <c r="B34" s="91"/>
      <c r="C34" s="91"/>
      <c r="D34" s="91"/>
      <c r="E34" s="91"/>
      <c r="F34" s="91"/>
      <c r="G34" s="91"/>
      <c r="H34" s="91"/>
      <c r="I34" s="91"/>
      <c r="J34" s="91"/>
      <c r="K34" s="91"/>
      <c r="L34" s="823"/>
      <c r="M34" s="91"/>
      <c r="N34" s="91"/>
      <c r="O34" s="91"/>
      <c r="S34" s="24"/>
      <c r="T34" s="24"/>
      <c r="U34" s="87"/>
      <c r="V34" s="24"/>
      <c r="W34" s="24"/>
      <c r="X34" s="24"/>
      <c r="Y34" s="24"/>
      <c r="Z34" s="24"/>
      <c r="AA34" s="24"/>
      <c r="AB34" s="77" t="s">
        <v>1489</v>
      </c>
      <c r="AC34" s="24"/>
      <c r="AD34" s="24"/>
      <c r="AE34" s="24"/>
      <c r="AF34" s="24"/>
      <c r="AG34" s="24"/>
      <c r="AH34" s="24"/>
      <c r="AI34" s="77" t="s">
        <v>1489</v>
      </c>
      <c r="AL34" s="79"/>
      <c r="AM34" s="79"/>
      <c r="AN34" s="79"/>
      <c r="AO34" s="79"/>
      <c r="AP34" s="79"/>
    </row>
    <row r="35" spans="1:42" ht="14.25" customHeight="1">
      <c r="Q35" s="36"/>
      <c r="R35" s="36"/>
      <c r="S35" s="793"/>
      <c r="T35" s="25"/>
      <c r="U35" s="766"/>
      <c r="V35" s="1348"/>
      <c r="W35" s="1348"/>
      <c r="X35" s="1348"/>
      <c r="Y35" s="1348"/>
      <c r="Z35" s="1348"/>
      <c r="AA35" s="1348"/>
      <c r="AB35" s="1348"/>
      <c r="AC35" s="1348"/>
      <c r="AD35" s="1348"/>
      <c r="AE35" s="1348"/>
      <c r="AF35" s="1348"/>
      <c r="AG35" s="1348"/>
      <c r="AH35" s="1348"/>
      <c r="AI35" s="1348"/>
    </row>
    <row r="36" spans="1:42" ht="14.25" customHeight="1">
      <c r="Q36" s="36"/>
      <c r="R36" s="36"/>
      <c r="S36" s="1123" t="s">
        <v>292</v>
      </c>
      <c r="T36" s="1123"/>
      <c r="U36" s="1123"/>
      <c r="V36" s="1123"/>
      <c r="W36" s="1123"/>
      <c r="X36" s="1123"/>
      <c r="Y36" s="1123"/>
      <c r="Z36" s="1123"/>
      <c r="AA36" s="1123"/>
      <c r="AB36" s="1123"/>
      <c r="AC36" s="1123"/>
      <c r="AD36" s="1123"/>
      <c r="AE36" s="1123"/>
      <c r="AF36" s="1123"/>
      <c r="AG36" s="1123"/>
      <c r="AH36" s="1123"/>
      <c r="AI36" s="1123"/>
      <c r="AJ36" s="1123"/>
      <c r="AK36" s="1123" t="s">
        <v>293</v>
      </c>
    </row>
    <row r="37" spans="1:42" ht="14.25" customHeight="1">
      <c r="Q37" s="36"/>
      <c r="R37" s="36"/>
      <c r="S37" s="1349" t="s">
        <v>88</v>
      </c>
      <c r="T37" s="1213" t="s">
        <v>1490</v>
      </c>
      <c r="U37" s="180"/>
      <c r="V37" s="1350" t="s">
        <v>1491</v>
      </c>
      <c r="W37" s="1351"/>
      <c r="X37" s="1351"/>
      <c r="Y37" s="1351"/>
      <c r="Z37" s="1351"/>
      <c r="AA37" s="1352"/>
      <c r="AB37" s="1353" t="s">
        <v>1492</v>
      </c>
      <c r="AC37" s="1350" t="s">
        <v>1491</v>
      </c>
      <c r="AD37" s="1351"/>
      <c r="AE37" s="1351"/>
      <c r="AF37" s="1351"/>
      <c r="AG37" s="1351"/>
      <c r="AH37" s="1352"/>
      <c r="AI37" s="1353" t="s">
        <v>1493</v>
      </c>
      <c r="AJ37" s="1356" t="s">
        <v>1494</v>
      </c>
      <c r="AK37" s="1123"/>
    </row>
    <row r="38" spans="1:42" ht="33.75" customHeight="1">
      <c r="Q38" s="36"/>
      <c r="R38" s="36"/>
      <c r="S38" s="1349"/>
      <c r="T38" s="1213"/>
      <c r="U38" s="647"/>
      <c r="V38" s="366" t="s">
        <v>1689</v>
      </c>
      <c r="W38" s="1105" t="s">
        <v>1497</v>
      </c>
      <c r="X38" s="1104"/>
      <c r="Y38" s="1105" t="s">
        <v>1498</v>
      </c>
      <c r="Z38" s="1110"/>
      <c r="AA38" s="1104"/>
      <c r="AB38" s="1354"/>
      <c r="AC38" s="366" t="s">
        <v>1689</v>
      </c>
      <c r="AD38" s="1105" t="s">
        <v>1497</v>
      </c>
      <c r="AE38" s="1104"/>
      <c r="AF38" s="1105" t="s">
        <v>1498</v>
      </c>
      <c r="AG38" s="1110"/>
      <c r="AH38" s="1104"/>
      <c r="AI38" s="1354"/>
      <c r="AJ38" s="1357"/>
      <c r="AK38" s="1123"/>
    </row>
    <row r="39" spans="1:42" ht="33.75" customHeight="1">
      <c r="A39" s="91"/>
      <c r="B39" s="91" t="s">
        <v>136</v>
      </c>
      <c r="C39" s="91" t="s">
        <v>137</v>
      </c>
      <c r="D39" s="91" t="s">
        <v>138</v>
      </c>
      <c r="E39" s="823" t="s">
        <v>1499</v>
      </c>
      <c r="F39" s="823" t="s">
        <v>1500</v>
      </c>
      <c r="G39" s="823" t="s">
        <v>1501</v>
      </c>
      <c r="H39" s="823"/>
      <c r="I39" s="823" t="s">
        <v>1690</v>
      </c>
      <c r="J39" s="823" t="s">
        <v>1504</v>
      </c>
      <c r="K39" s="823" t="s">
        <v>1691</v>
      </c>
      <c r="L39" s="823" t="s">
        <v>1480</v>
      </c>
      <c r="Q39" s="36"/>
      <c r="R39" s="36"/>
      <c r="S39" s="1349"/>
      <c r="T39" s="1213"/>
      <c r="U39" s="181"/>
      <c r="V39" s="366" t="s">
        <v>1692</v>
      </c>
      <c r="W39" s="48" t="s">
        <v>1693</v>
      </c>
      <c r="X39" s="48" t="s">
        <v>1694</v>
      </c>
      <c r="Y39" s="48" t="s">
        <v>1508</v>
      </c>
      <c r="Z39" s="1219" t="s">
        <v>1509</v>
      </c>
      <c r="AA39" s="1233"/>
      <c r="AB39" s="1355"/>
      <c r="AC39" s="366" t="s">
        <v>1692</v>
      </c>
      <c r="AD39" s="48" t="s">
        <v>1693</v>
      </c>
      <c r="AE39" s="48" t="s">
        <v>1694</v>
      </c>
      <c r="AF39" s="48" t="s">
        <v>1508</v>
      </c>
      <c r="AG39" s="1219" t="s">
        <v>1509</v>
      </c>
      <c r="AH39" s="1233"/>
      <c r="AI39" s="1355"/>
      <c r="AJ39" s="1358"/>
      <c r="AK39" s="1123"/>
    </row>
    <row r="40" spans="1:42" s="216" customFormat="1" ht="11.25" hidden="1" customHeight="1">
      <c r="A40" s="91"/>
      <c r="B40" s="91"/>
      <c r="C40" s="91"/>
      <c r="D40" s="91"/>
      <c r="E40" s="91"/>
      <c r="F40" s="91"/>
      <c r="G40" s="91"/>
      <c r="H40" s="91"/>
      <c r="I40" s="91"/>
      <c r="J40" s="91"/>
      <c r="K40" s="91"/>
      <c r="L40" s="823"/>
      <c r="M40" s="541"/>
      <c r="N40" s="541"/>
      <c r="O40" s="541"/>
      <c r="P40" s="768"/>
      <c r="Q40" s="769"/>
      <c r="R40" s="777">
        <v>1</v>
      </c>
      <c r="S40" s="795" t="s">
        <v>109</v>
      </c>
      <c r="T40" s="778" t="s">
        <v>110</v>
      </c>
      <c r="U40" s="767" t="str">
        <f ca="1">OFFSET(U40,0,-1)</f>
        <v>2</v>
      </c>
      <c r="V40" s="779">
        <f ca="1">OFFSET(V40,0,-1)+1</f>
        <v>3</v>
      </c>
      <c r="W40" s="779">
        <f ca="1">OFFSET(W40,0,-1)+1</f>
        <v>4</v>
      </c>
      <c r="X40" s="779">
        <f ca="1">OFFSET(X40,0,-1)+1</f>
        <v>5</v>
      </c>
      <c r="Y40" s="779">
        <f ca="1">OFFSET(Y40,0,-1)+1</f>
        <v>6</v>
      </c>
      <c r="Z40" s="1347">
        <f ca="1">OFFSET(Z40,0,-1)+1</f>
        <v>7</v>
      </c>
      <c r="AA40" s="1347"/>
      <c r="AB40" s="779">
        <f ca="1">OFFSET(AB40,0,-2)+1</f>
        <v>8</v>
      </c>
      <c r="AC40" s="779">
        <f ca="1">OFFSET(AC40,0,-1)+1</f>
        <v>9</v>
      </c>
      <c r="AD40" s="779">
        <f ca="1">OFFSET(AD40,0,-1)+1</f>
        <v>10</v>
      </c>
      <c r="AE40" s="779">
        <f ca="1">OFFSET(AE40,0,-1)+1</f>
        <v>11</v>
      </c>
      <c r="AF40" s="779">
        <f ca="1">OFFSET(AF40,0,-1)+1</f>
        <v>12</v>
      </c>
      <c r="AG40" s="1347">
        <f ca="1">OFFSET(AG40,0,-1)+1</f>
        <v>13</v>
      </c>
      <c r="AH40" s="1347"/>
      <c r="AI40" s="779">
        <f ca="1">OFFSET(AI40,0,-2)+1</f>
        <v>14</v>
      </c>
      <c r="AJ40" s="767">
        <f ca="1">OFFSET(AJ40,0,-1)</f>
        <v>14</v>
      </c>
      <c r="AK40" s="779">
        <f ca="1">OFFSET(AK40,0,-1)+1</f>
        <v>15</v>
      </c>
      <c r="AL40" s="77"/>
      <c r="AM40" s="77"/>
      <c r="AN40" s="77"/>
      <c r="AO40" s="77"/>
      <c r="AP40" s="77"/>
    </row>
    <row r="41" spans="1:42" ht="23.25" customHeight="1">
      <c r="A41" s="822" t="s">
        <v>228</v>
      </c>
      <c r="B41" s="822"/>
      <c r="C41" s="822"/>
      <c r="D41" s="822"/>
      <c r="E41" s="1337">
        <v>1</v>
      </c>
      <c r="F41" s="822"/>
      <c r="G41" s="822"/>
      <c r="H41" s="822"/>
      <c r="I41" s="822"/>
      <c r="J41" s="822"/>
      <c r="K41" s="822"/>
      <c r="L41" s="823"/>
      <c r="M41" s="452"/>
      <c r="N41" s="452"/>
      <c r="O41" s="452"/>
      <c r="Q41" s="43"/>
      <c r="R41" s="220"/>
      <c r="S41" s="755">
        <f>INDEX(PT_DIFFERENTIATION_NUM_NTAR,MATCH(A41,PT_DIFFERENTIATION_NTAR_ID,0))</f>
        <v>0</v>
      </c>
      <c r="T41" s="76" t="s">
        <v>124</v>
      </c>
      <c r="U41" s="179"/>
      <c r="V41" s="1331"/>
      <c r="W41" s="1332"/>
      <c r="X41" s="1332"/>
      <c r="Y41" s="1332"/>
      <c r="Z41" s="1332"/>
      <c r="AA41" s="1332"/>
      <c r="AB41" s="1333"/>
      <c r="AC41" s="1331" t="str">
        <f>INDEX(PT_DIFFERENTIATION_NTAR,MATCH(A41,PT_DIFFERENTIATION_NTAR_ID,0))</f>
        <v/>
      </c>
      <c r="AD41" s="1332"/>
      <c r="AE41" s="1332"/>
      <c r="AF41" s="1332"/>
      <c r="AG41" s="1332"/>
      <c r="AH41" s="1332"/>
      <c r="AI41" s="1332"/>
      <c r="AJ41" s="1333"/>
      <c r="AK41" s="7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9"/>
      <c r="AN41" s="79" t="str">
        <f t="shared" ref="AN41:AN53" si="1">IF(T41="","",T41)</f>
        <v>Наименование тарифа</v>
      </c>
      <c r="AO41" s="79"/>
      <c r="AP41" s="79"/>
    </row>
    <row r="42" spans="1:42" ht="23.25" customHeight="1">
      <c r="A42" s="822" t="s">
        <v>228</v>
      </c>
      <c r="B42" s="822" t="s">
        <v>229</v>
      </c>
      <c r="C42" s="822"/>
      <c r="D42" s="822"/>
      <c r="E42" s="1338"/>
      <c r="F42" s="1337">
        <v>1</v>
      </c>
      <c r="G42" s="822"/>
      <c r="H42" s="822"/>
      <c r="I42" s="822"/>
      <c r="J42" s="822"/>
      <c r="K42" s="822"/>
      <c r="L42" s="823"/>
      <c r="M42" s="452"/>
      <c r="N42" s="452"/>
      <c r="O42" s="452"/>
      <c r="P42" s="68"/>
      <c r="Q42" s="217"/>
      <c r="R42" s="218"/>
      <c r="S42" s="755" t="str">
        <f>INDEX(PT_DIFFERENTIATION_NUM_TER,MATCH(B42,PT_DIFFERENTIATION_TER_ID,0))</f>
        <v>.</v>
      </c>
      <c r="T42" s="187" t="s">
        <v>1462</v>
      </c>
      <c r="U42" s="179"/>
      <c r="V42" s="1331"/>
      <c r="W42" s="1332"/>
      <c r="X42" s="1332"/>
      <c r="Y42" s="1332"/>
      <c r="Z42" s="1332"/>
      <c r="AA42" s="1332"/>
      <c r="AB42" s="1333"/>
      <c r="AC42" s="1331" t="str">
        <f>INDEX(PT_DIFFERENTIATION_TER,MATCH(B42,PT_DIFFERENTIATION_TER_ID,0))</f>
        <v/>
      </c>
      <c r="AD42" s="1332"/>
      <c r="AE42" s="1332"/>
      <c r="AF42" s="1332"/>
      <c r="AG42" s="1332"/>
      <c r="AH42" s="1332"/>
      <c r="AI42" s="1332"/>
      <c r="AJ42" s="1333"/>
      <c r="AK42" s="782" t="s">
        <v>1463</v>
      </c>
      <c r="AM42" s="79"/>
      <c r="AN42" s="79" t="str">
        <f t="shared" si="1"/>
        <v>Территория действия тарифа</v>
      </c>
      <c r="AO42" s="79"/>
      <c r="AP42" s="79"/>
    </row>
    <row r="43" spans="1:42" ht="23.25" customHeight="1">
      <c r="A43" s="822" t="s">
        <v>228</v>
      </c>
      <c r="B43" s="822" t="s">
        <v>229</v>
      </c>
      <c r="C43" s="822" t="s">
        <v>230</v>
      </c>
      <c r="D43" s="822"/>
      <c r="E43" s="1338"/>
      <c r="F43" s="1338"/>
      <c r="G43" s="1337">
        <v>1</v>
      </c>
      <c r="H43" s="822"/>
      <c r="I43" s="822"/>
      <c r="J43" s="822"/>
      <c r="K43" s="822"/>
      <c r="L43" s="823"/>
      <c r="M43" s="452"/>
      <c r="N43" s="452"/>
      <c r="O43" s="452"/>
      <c r="P43" s="219"/>
      <c r="Q43" s="217"/>
      <c r="R43" s="218"/>
      <c r="S43" s="755" t="str">
        <f>INDEX(PT_DIFFERENTIATION_NUM_CS,MATCH(C43,PT_DIFFERENTIATION_CS_ID,0))</f>
        <v>..</v>
      </c>
      <c r="T43" s="188" t="s">
        <v>1681</v>
      </c>
      <c r="U43" s="179"/>
      <c r="V43" s="1331"/>
      <c r="W43" s="1332"/>
      <c r="X43" s="1332"/>
      <c r="Y43" s="1332"/>
      <c r="Z43" s="1332"/>
      <c r="AA43" s="1332"/>
      <c r="AB43" s="1333"/>
      <c r="AC43" s="1331" t="str">
        <f>INDEX(PT_DIFFERENTIATION_CS,MATCH(C43,PT_DIFFERENTIATION_CS_ID,0))</f>
        <v/>
      </c>
      <c r="AD43" s="1332"/>
      <c r="AE43" s="1332"/>
      <c r="AF43" s="1332"/>
      <c r="AG43" s="1332"/>
      <c r="AH43" s="1332"/>
      <c r="AI43" s="1332"/>
      <c r="AJ43" s="1333"/>
      <c r="AK43" s="782" t="s">
        <v>1682</v>
      </c>
      <c r="AM43" s="79"/>
      <c r="AN43" s="79" t="str">
        <f t="shared" si="1"/>
        <v>Наименование централизованной системы холодного водоснабжения</v>
      </c>
      <c r="AO43" s="79"/>
      <c r="AP43" s="79"/>
    </row>
    <row r="44" spans="1:42" ht="23.25" customHeight="1">
      <c r="A44" s="822" t="s">
        <v>228</v>
      </c>
      <c r="B44" s="822" t="s">
        <v>229</v>
      </c>
      <c r="C44" s="822" t="s">
        <v>230</v>
      </c>
      <c r="D44" s="822" t="s">
        <v>1699</v>
      </c>
      <c r="E44" s="1338"/>
      <c r="F44" s="1338"/>
      <c r="G44" s="1338"/>
      <c r="H44" s="1338"/>
      <c r="I44" s="1339" t="str">
        <f>S43&amp;".1"</f>
        <v>...1</v>
      </c>
      <c r="J44" s="822"/>
      <c r="K44" s="822"/>
      <c r="L44" s="823"/>
      <c r="P44" s="1259">
        <v>1</v>
      </c>
      <c r="Q44" s="127"/>
      <c r="R44" s="221"/>
      <c r="S44" s="755" t="str">
        <f>$I44</f>
        <v>...1</v>
      </c>
      <c r="T44" s="172" t="s">
        <v>1683</v>
      </c>
      <c r="U44" s="179"/>
      <c r="V44" s="1429"/>
      <c r="W44" s="1430"/>
      <c r="X44" s="1430"/>
      <c r="Y44" s="1430"/>
      <c r="Z44" s="1430"/>
      <c r="AA44" s="1430"/>
      <c r="AB44" s="1431"/>
      <c r="AC44" s="1432"/>
      <c r="AD44" s="1433"/>
      <c r="AE44" s="1433"/>
      <c r="AF44" s="1433"/>
      <c r="AG44" s="1433"/>
      <c r="AH44" s="1433"/>
      <c r="AI44" s="1433"/>
      <c r="AJ44" s="1434"/>
      <c r="AK44" s="782" t="s">
        <v>1684</v>
      </c>
      <c r="AM44" s="79"/>
      <c r="AN44" s="79" t="str">
        <f t="shared" si="1"/>
        <v>Наименование признака дифференциации</v>
      </c>
      <c r="AO44" s="79"/>
      <c r="AP44" s="79"/>
    </row>
    <row r="45" spans="1:42" ht="23.25" customHeight="1">
      <c r="A45" s="822" t="s">
        <v>228</v>
      </c>
      <c r="B45" s="822" t="s">
        <v>229</v>
      </c>
      <c r="C45" s="822" t="s">
        <v>230</v>
      </c>
      <c r="D45" s="822" t="s">
        <v>1699</v>
      </c>
      <c r="E45" s="1338"/>
      <c r="F45" s="1338"/>
      <c r="G45" s="1338"/>
      <c r="H45" s="1338"/>
      <c r="I45" s="1340"/>
      <c r="J45" s="1339" t="str">
        <f>I44&amp;".1"</f>
        <v>...1.1</v>
      </c>
      <c r="K45" s="822"/>
      <c r="L45" s="823" t="s">
        <v>1471</v>
      </c>
      <c r="P45" s="1259"/>
      <c r="Q45" s="1259">
        <v>1</v>
      </c>
      <c r="R45" s="222"/>
      <c r="S45" s="755" t="str">
        <f>$J45</f>
        <v>...1.1</v>
      </c>
      <c r="T45" s="173" t="s">
        <v>1472</v>
      </c>
      <c r="U45" s="179"/>
      <c r="V45" s="1326"/>
      <c r="W45" s="1327"/>
      <c r="X45" s="1327"/>
      <c r="Y45" s="1327"/>
      <c r="Z45" s="1327"/>
      <c r="AA45" s="1327"/>
      <c r="AB45" s="1328"/>
      <c r="AC45" s="1326"/>
      <c r="AD45" s="1327"/>
      <c r="AE45" s="1327"/>
      <c r="AF45" s="1327"/>
      <c r="AG45" s="1327"/>
      <c r="AH45" s="1327"/>
      <c r="AI45" s="1327"/>
      <c r="AJ45" s="1328"/>
      <c r="AK45" s="809" t="s">
        <v>1685</v>
      </c>
      <c r="AM45" s="79"/>
      <c r="AN45" s="79" t="str">
        <f t="shared" si="1"/>
        <v>Группа потребителей</v>
      </c>
      <c r="AO45" s="79"/>
      <c r="AP45" s="79"/>
    </row>
    <row r="46" spans="1:42" ht="23.25" customHeight="1">
      <c r="A46" s="822" t="s">
        <v>228</v>
      </c>
      <c r="B46" s="822" t="s">
        <v>229</v>
      </c>
      <c r="C46" s="822" t="s">
        <v>230</v>
      </c>
      <c r="D46" s="822" t="s">
        <v>1699</v>
      </c>
      <c r="E46" s="1338"/>
      <c r="F46" s="1338"/>
      <c r="G46" s="1338"/>
      <c r="H46" s="1338"/>
      <c r="I46" s="1340"/>
      <c r="J46" s="1340"/>
      <c r="K46" s="1339" t="str">
        <f>J45&amp;".1"</f>
        <v>...1.1.1</v>
      </c>
      <c r="L46" s="823"/>
      <c r="P46" s="1259"/>
      <c r="Q46" s="1259"/>
      <c r="R46" s="222">
        <v>1</v>
      </c>
      <c r="S46" s="755" t="str">
        <f>$K46</f>
        <v>...1.1.1</v>
      </c>
      <c r="T46" s="853"/>
      <c r="U46" s="179"/>
      <c r="V46" s="1054"/>
      <c r="W46" s="1054"/>
      <c r="X46" s="1056"/>
      <c r="Y46" s="1341"/>
      <c r="Z46" s="1133" t="s">
        <v>67</v>
      </c>
      <c r="AA46" s="1341"/>
      <c r="AB46" s="1133" t="s">
        <v>67</v>
      </c>
      <c r="AC46" s="1054"/>
      <c r="AD46" s="1054"/>
      <c r="AE46" s="1056"/>
      <c r="AF46" s="1341"/>
      <c r="AG46" s="1133" t="s">
        <v>67</v>
      </c>
      <c r="AH46" s="1343"/>
      <c r="AI46" s="1133" t="s">
        <v>67</v>
      </c>
      <c r="AJ46" s="1082"/>
      <c r="AK46" s="143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7" t="e">
        <f ca="1">STRCHECKDATE(V47:AJ47)</f>
        <v>#NAME?</v>
      </c>
      <c r="AM46" s="79"/>
      <c r="AN46" s="79" t="str">
        <f t="shared" si="1"/>
        <v/>
      </c>
      <c r="AO46" s="79"/>
      <c r="AP46" s="79"/>
    </row>
    <row r="47" spans="1:42" ht="0" hidden="1" customHeight="1">
      <c r="A47" s="822" t="s">
        <v>228</v>
      </c>
      <c r="B47" s="822" t="s">
        <v>229</v>
      </c>
      <c r="C47" s="822" t="s">
        <v>230</v>
      </c>
      <c r="D47" s="822" t="s">
        <v>1699</v>
      </c>
      <c r="E47" s="1338"/>
      <c r="F47" s="1338"/>
      <c r="G47" s="1338"/>
      <c r="H47" s="1338"/>
      <c r="I47" s="1340"/>
      <c r="J47" s="1340"/>
      <c r="K47" s="1339"/>
      <c r="L47" s="823"/>
      <c r="P47" s="1259"/>
      <c r="Q47" s="1259"/>
      <c r="R47" s="222"/>
      <c r="S47" s="74"/>
      <c r="T47" s="179"/>
      <c r="U47" s="179"/>
      <c r="V47" s="1055"/>
      <c r="W47" s="1055"/>
      <c r="X47" s="1057" t="str">
        <f>Y46&amp;"-"&amp;AA46</f>
        <v>-</v>
      </c>
      <c r="Y47" s="1342"/>
      <c r="Z47" s="1133"/>
      <c r="AA47" s="1342"/>
      <c r="AB47" s="1133"/>
      <c r="AC47" s="1055"/>
      <c r="AD47" s="1055"/>
      <c r="AE47" s="1057" t="str">
        <f>AF46&amp;"-"&amp;AH46</f>
        <v>-</v>
      </c>
      <c r="AF47" s="1342"/>
      <c r="AG47" s="1133"/>
      <c r="AH47" s="1344"/>
      <c r="AI47" s="1133"/>
      <c r="AJ47" s="1083"/>
      <c r="AK47" s="1435"/>
      <c r="AM47" s="79"/>
      <c r="AN47" s="79" t="str">
        <f t="shared" si="1"/>
        <v/>
      </c>
      <c r="AO47" s="79"/>
      <c r="AP47" s="79"/>
    </row>
    <row r="48" spans="1:42" ht="21" customHeight="1">
      <c r="A48" s="822" t="s">
        <v>228</v>
      </c>
      <c r="B48" s="822" t="s">
        <v>229</v>
      </c>
      <c r="C48" s="822" t="s">
        <v>230</v>
      </c>
      <c r="D48" s="822" t="s">
        <v>1699</v>
      </c>
      <c r="E48" s="1338"/>
      <c r="F48" s="1338"/>
      <c r="G48" s="1338"/>
      <c r="H48" s="1338"/>
      <c r="I48" s="1340"/>
      <c r="J48" s="1339"/>
      <c r="K48" s="822"/>
      <c r="L48" s="823"/>
      <c r="P48" s="1259"/>
      <c r="Q48" s="1259"/>
      <c r="R48" s="221"/>
      <c r="S48" s="796"/>
      <c r="T48" s="174" t="s">
        <v>1686</v>
      </c>
      <c r="U48" s="228"/>
      <c r="V48" s="228"/>
      <c r="W48" s="228"/>
      <c r="X48" s="228"/>
      <c r="Y48" s="228"/>
      <c r="Z48" s="228"/>
      <c r="AA48" s="228"/>
      <c r="AB48" s="228"/>
      <c r="AC48" s="228"/>
      <c r="AD48" s="228"/>
      <c r="AE48" s="228"/>
      <c r="AF48" s="228"/>
      <c r="AG48" s="228"/>
      <c r="AH48" s="228"/>
      <c r="AI48" s="228"/>
      <c r="AJ48" s="228"/>
      <c r="AK48" s="782" t="s">
        <v>1687</v>
      </c>
      <c r="AM48" s="79"/>
      <c r="AN48" s="79" t="str">
        <f t="shared" si="1"/>
        <v>Добавить значение признака дифференциации</v>
      </c>
      <c r="AO48" s="79"/>
      <c r="AP48" s="79"/>
    </row>
    <row r="49" spans="1:42" ht="21" customHeight="1">
      <c r="A49" s="822" t="s">
        <v>228</v>
      </c>
      <c r="B49" s="822" t="s">
        <v>229</v>
      </c>
      <c r="C49" s="822" t="s">
        <v>230</v>
      </c>
      <c r="D49" s="822" t="s">
        <v>1699</v>
      </c>
      <c r="E49" s="1338"/>
      <c r="F49" s="1338"/>
      <c r="G49" s="1338"/>
      <c r="H49" s="1338"/>
      <c r="I49" s="1339"/>
      <c r="J49" s="822"/>
      <c r="K49" s="822"/>
      <c r="L49" s="823"/>
      <c r="P49" s="1259"/>
      <c r="Q49" s="127"/>
      <c r="R49" s="221"/>
      <c r="S49" s="796"/>
      <c r="T49" s="226" t="s">
        <v>1477</v>
      </c>
      <c r="U49" s="228"/>
      <c r="V49" s="228"/>
      <c r="W49" s="228"/>
      <c r="X49" s="228"/>
      <c r="Y49" s="228"/>
      <c r="Z49" s="228"/>
      <c r="AA49" s="228"/>
      <c r="AB49" s="205"/>
      <c r="AC49" s="228"/>
      <c r="AD49" s="228"/>
      <c r="AE49" s="228"/>
      <c r="AF49" s="228"/>
      <c r="AG49" s="228"/>
      <c r="AH49" s="228"/>
      <c r="AI49" s="205"/>
      <c r="AJ49" s="228"/>
      <c r="AK49" s="854"/>
      <c r="AM49" s="79"/>
      <c r="AN49" s="79" t="str">
        <f t="shared" si="1"/>
        <v>Добавить группу потребителей</v>
      </c>
      <c r="AO49" s="79"/>
      <c r="AP49" s="79"/>
    </row>
    <row r="50" spans="1:42" ht="21" customHeight="1">
      <c r="A50" s="822" t="s">
        <v>228</v>
      </c>
      <c r="B50" s="822" t="s">
        <v>229</v>
      </c>
      <c r="C50" s="822" t="s">
        <v>230</v>
      </c>
      <c r="D50" s="822" t="s">
        <v>1699</v>
      </c>
      <c r="E50" s="1338"/>
      <c r="F50" s="1338"/>
      <c r="G50" s="1338"/>
      <c r="H50" s="1337"/>
      <c r="I50" s="822"/>
      <c r="J50" s="822"/>
      <c r="K50" s="822"/>
      <c r="L50" s="823"/>
      <c r="M50" s="452"/>
      <c r="N50" s="452"/>
      <c r="O50" s="72"/>
      <c r="P50" s="43"/>
      <c r="Q50" s="231"/>
      <c r="R50" s="220"/>
      <c r="S50" s="796"/>
      <c r="T50" s="113" t="s">
        <v>1688</v>
      </c>
      <c r="U50" s="228"/>
      <c r="V50" s="228"/>
      <c r="W50" s="228"/>
      <c r="X50" s="228"/>
      <c r="Y50" s="228"/>
      <c r="Z50" s="228"/>
      <c r="AA50" s="228"/>
      <c r="AB50" s="205"/>
      <c r="AC50" s="228"/>
      <c r="AD50" s="228"/>
      <c r="AE50" s="228"/>
      <c r="AF50" s="228"/>
      <c r="AG50" s="228"/>
      <c r="AH50" s="228"/>
      <c r="AI50" s="205"/>
      <c r="AJ50" s="228"/>
      <c r="AK50" s="182"/>
      <c r="AM50" s="79"/>
      <c r="AN50" s="79" t="str">
        <f t="shared" si="1"/>
        <v>Добавить наименование признака дифференциации</v>
      </c>
      <c r="AO50" s="79"/>
      <c r="AP50" s="79"/>
    </row>
    <row r="51" spans="1:42" s="77" customFormat="1" ht="0.75" customHeight="1">
      <c r="A51" s="150" t="s">
        <v>228</v>
      </c>
      <c r="B51" s="150" t="s">
        <v>229</v>
      </c>
      <c r="C51" s="150"/>
      <c r="D51" s="150"/>
      <c r="E51" s="1338"/>
      <c r="F51" s="1337"/>
      <c r="G51" s="150"/>
      <c r="H51" s="150"/>
      <c r="I51" s="150"/>
      <c r="J51" s="150"/>
      <c r="K51" s="150"/>
      <c r="L51" s="373"/>
      <c r="M51" s="815"/>
      <c r="N51" s="815"/>
      <c r="P51" s="111"/>
      <c r="Q51" s="811"/>
      <c r="R51" s="111"/>
      <c r="S51" s="816"/>
      <c r="T51" s="818" t="s">
        <v>1438</v>
      </c>
      <c r="U51" s="338"/>
      <c r="V51" s="338"/>
      <c r="W51" s="338"/>
      <c r="X51" s="338"/>
      <c r="Y51" s="338"/>
      <c r="Z51" s="338"/>
      <c r="AA51" s="338"/>
      <c r="AB51" s="338"/>
      <c r="AC51" s="338"/>
      <c r="AD51" s="338"/>
      <c r="AE51" s="338"/>
      <c r="AF51" s="338"/>
      <c r="AG51" s="338"/>
      <c r="AH51" s="338"/>
      <c r="AI51" s="338"/>
      <c r="AJ51" s="338"/>
      <c r="AK51" s="338"/>
      <c r="AM51" s="79"/>
      <c r="AN51" s="79" t="str">
        <f t="shared" si="1"/>
        <v>Добавить централизованную систему для дифференциации</v>
      </c>
      <c r="AO51" s="79"/>
      <c r="AP51" s="79"/>
    </row>
    <row r="52" spans="1:42" s="77" customFormat="1" ht="0.75" customHeight="1">
      <c r="A52" s="150" t="s">
        <v>228</v>
      </c>
      <c r="B52" s="150"/>
      <c r="C52" s="150"/>
      <c r="D52" s="150"/>
      <c r="E52" s="1337"/>
      <c r="F52" s="150"/>
      <c r="G52" s="150"/>
      <c r="H52" s="150"/>
      <c r="I52" s="150"/>
      <c r="J52" s="150"/>
      <c r="K52" s="150"/>
      <c r="L52" s="373"/>
      <c r="M52" s="815"/>
      <c r="N52" s="815"/>
      <c r="P52" s="111"/>
      <c r="Q52" s="811"/>
      <c r="R52" s="111"/>
      <c r="S52" s="816"/>
      <c r="T52" s="818" t="s">
        <v>1439</v>
      </c>
      <c r="U52" s="338"/>
      <c r="V52" s="338"/>
      <c r="W52" s="338"/>
      <c r="X52" s="338"/>
      <c r="Y52" s="338"/>
      <c r="Z52" s="338"/>
      <c r="AA52" s="338"/>
      <c r="AB52" s="338"/>
      <c r="AC52" s="338"/>
      <c r="AD52" s="338"/>
      <c r="AE52" s="338"/>
      <c r="AF52" s="338"/>
      <c r="AG52" s="338"/>
      <c r="AH52" s="338"/>
      <c r="AI52" s="338"/>
      <c r="AJ52" s="338"/>
      <c r="AK52" s="338"/>
      <c r="AM52" s="79"/>
      <c r="AN52" s="79" t="str">
        <f t="shared" si="1"/>
        <v>Добавить территорию для дифференциации</v>
      </c>
      <c r="AO52" s="79"/>
      <c r="AP52" s="79"/>
    </row>
    <row r="53" spans="1:42" s="77" customFormat="1" ht="0.75" customHeight="1">
      <c r="A53" s="150"/>
      <c r="B53" s="150"/>
      <c r="C53" s="150"/>
      <c r="D53" s="150"/>
      <c r="E53" s="150"/>
      <c r="F53" s="150"/>
      <c r="G53" s="150"/>
      <c r="H53" s="150"/>
      <c r="I53" s="150"/>
      <c r="J53" s="150"/>
      <c r="K53" s="150"/>
      <c r="L53" s="373"/>
      <c r="M53" s="815"/>
      <c r="N53" s="815"/>
      <c r="P53" s="111"/>
      <c r="Q53" s="811"/>
      <c r="R53" s="111"/>
      <c r="S53" s="816"/>
      <c r="T53" s="818" t="s">
        <v>1440</v>
      </c>
      <c r="U53" s="338"/>
      <c r="V53" s="338"/>
      <c r="W53" s="338"/>
      <c r="X53" s="338"/>
      <c r="Y53" s="338"/>
      <c r="Z53" s="338"/>
      <c r="AA53" s="338"/>
      <c r="AB53" s="338"/>
      <c r="AC53" s="338"/>
      <c r="AD53" s="338"/>
      <c r="AE53" s="338"/>
      <c r="AF53" s="338"/>
      <c r="AG53" s="338"/>
      <c r="AH53" s="338"/>
      <c r="AI53" s="338"/>
      <c r="AJ53" s="338"/>
      <c r="AK53" s="338"/>
      <c r="AM53" s="79"/>
      <c r="AN53" s="79" t="str">
        <f t="shared" si="1"/>
        <v>Добавить наименование тарифа</v>
      </c>
      <c r="AO53" s="79"/>
      <c r="AP53" s="79"/>
    </row>
    <row r="54" spans="1:42" ht="11.25" hidden="1" customHeight="1">
      <c r="M54" s="72"/>
      <c r="N54" s="72"/>
      <c r="O54" s="72"/>
      <c r="P54" s="24"/>
      <c r="Q54" s="24"/>
      <c r="R54" s="24"/>
      <c r="S54" s="24"/>
      <c r="AL54" s="24"/>
      <c r="AM54" s="24"/>
      <c r="AN54" s="24"/>
      <c r="AO54" s="24"/>
      <c r="AP54" s="24"/>
    </row>
    <row r="55" spans="1:42" ht="14.25" hidden="1" customHeight="1">
      <c r="O55" s="72"/>
      <c r="S55" s="210" t="s">
        <v>1510</v>
      </c>
      <c r="T55" s="1336" t="s">
        <v>1696</v>
      </c>
      <c r="U55" s="1336"/>
      <c r="V55" s="1336"/>
      <c r="W55" s="1336"/>
      <c r="X55" s="1336"/>
      <c r="Y55" s="1336"/>
      <c r="Z55" s="1336"/>
      <c r="AA55" s="1336"/>
      <c r="AB55" s="1336"/>
      <c r="AC55" s="1336"/>
      <c r="AD55" s="1336"/>
      <c r="AE55" s="1336"/>
      <c r="AF55" s="1336"/>
      <c r="AG55" s="1336"/>
      <c r="AH55" s="1336"/>
      <c r="AI55" s="1336"/>
      <c r="AJ55" s="1336"/>
      <c r="AK55" s="1336"/>
    </row>
    <row r="56" spans="1:42" ht="14.25" hidden="1" customHeight="1">
      <c r="O56" s="72"/>
    </row>
    <row r="57" spans="1:42" ht="14.25" hidden="1" customHeight="1">
      <c r="O57" s="72"/>
      <c r="S57" s="210" t="s">
        <v>1510</v>
      </c>
      <c r="T57" s="1336" t="s">
        <v>1697</v>
      </c>
      <c r="U57" s="1336"/>
      <c r="V57" s="1336"/>
      <c r="W57" s="1336"/>
      <c r="X57" s="1336"/>
      <c r="Y57" s="1336"/>
      <c r="Z57" s="1336"/>
      <c r="AA57" s="1336"/>
      <c r="AB57" s="1336"/>
      <c r="AC57" s="1336"/>
      <c r="AD57" s="1336"/>
      <c r="AE57" s="1336"/>
      <c r="AF57" s="1336"/>
      <c r="AG57" s="1336"/>
      <c r="AH57" s="1336"/>
      <c r="AI57" s="1336"/>
      <c r="AJ57" s="1336"/>
      <c r="AK57" s="1336"/>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2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2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2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2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2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2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2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24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D6B4DB-F08C-5E75-310D-9974551E06D3}">
  <sheetPr>
    <tabColor theme="6" tint="0.39997558519241921"/>
  </sheetPr>
  <dimension ref="A1:AP57"/>
  <sheetViews>
    <sheetView showGridLines="0" topLeftCell="P23" zoomScale="90" workbookViewId="0"/>
  </sheetViews>
  <sheetFormatPr defaultColWidth="10.5703125" defaultRowHeight="14.25" customHeight="1"/>
  <cols>
    <col min="1" max="1" width="10.5703125" style="72" hidden="1"/>
    <col min="2" max="2" width="11" style="72" hidden="1" customWidth="1"/>
    <col min="3" max="3" width="10.5703125" style="72" hidden="1"/>
    <col min="4" max="4" width="11.85546875" style="72" hidden="1" customWidth="1"/>
    <col min="5" max="5" width="10" style="72" hidden="1" customWidth="1"/>
    <col min="6" max="6" width="8.7109375" style="72" hidden="1" customWidth="1"/>
    <col min="7" max="7" width="7.5703125" style="72" hidden="1" customWidth="1"/>
    <col min="8" max="8" width="11.42578125" style="72" hidden="1" customWidth="1"/>
    <col min="9" max="9" width="14.140625" style="72" hidden="1" customWidth="1"/>
    <col min="10" max="10" width="9.85546875" style="72" hidden="1" customWidth="1"/>
    <col min="11" max="11" width="14.7109375" style="72" hidden="1" customWidth="1"/>
    <col min="12" max="12" width="19.140625" style="388" hidden="1" customWidth="1"/>
    <col min="13" max="14" width="12.28515625" style="541" hidden="1" customWidth="1"/>
    <col min="15" max="15" width="23.42578125" style="541" hidden="1" customWidth="1"/>
    <col min="16" max="16" width="3.7109375" style="42" customWidth="1"/>
    <col min="17" max="18" width="3.7109375" style="37" customWidth="1"/>
    <col min="19" max="19" width="12.7109375" style="368" customWidth="1"/>
    <col min="20" max="20" width="35.7109375" style="24" customWidth="1"/>
    <col min="21" max="21" width="0.140625" style="24" customWidth="1"/>
    <col min="22" max="24" width="24.7109375" style="24" hidden="1" customWidth="1"/>
    <col min="25" max="25" width="11.7109375" style="24" hidden="1" customWidth="1"/>
    <col min="26" max="26" width="3.7109375" style="24" hidden="1" customWidth="1"/>
    <col min="27" max="27" width="11.7109375" style="24" hidden="1" customWidth="1"/>
    <col min="28" max="28" width="8.5703125" style="24" hidden="1" customWidth="1"/>
    <col min="29" max="31" width="24.7109375" style="24" customWidth="1"/>
    <col min="32" max="32" width="11.7109375" style="24" customWidth="1"/>
    <col min="33" max="33" width="3.7109375" style="24" customWidth="1"/>
    <col min="34" max="34" width="11.7109375" style="24" customWidth="1"/>
    <col min="35" max="35" width="8.5703125" style="24" hidden="1" customWidth="1"/>
    <col min="36" max="36" width="4.7109375" style="24" customWidth="1"/>
    <col min="37" max="37" width="115.7109375" style="24" customWidth="1"/>
    <col min="38" max="39" width="10.5703125" style="77"/>
    <col min="40" max="40" width="11.140625" style="77" customWidth="1"/>
    <col min="41" max="42" width="10.5703125" style="77"/>
  </cols>
  <sheetData>
    <row r="1" spans="1:42" ht="14.25" hidden="1" customHeight="1"/>
    <row r="2" spans="1:42" ht="23.25" hidden="1" customHeight="1">
      <c r="A2" s="822"/>
      <c r="B2" s="822"/>
      <c r="C2" s="822"/>
      <c r="D2" s="822"/>
      <c r="E2" s="1337">
        <v>1</v>
      </c>
      <c r="F2" s="822"/>
      <c r="G2" s="822"/>
      <c r="H2" s="822"/>
      <c r="I2" s="822"/>
      <c r="J2" s="822"/>
      <c r="K2" s="822"/>
      <c r="L2" s="823"/>
      <c r="M2" s="452"/>
      <c r="N2" s="452"/>
      <c r="O2" s="452"/>
      <c r="Q2" s="43"/>
      <c r="R2" s="220"/>
      <c r="S2" s="755" t="e">
        <f>INDEX(PT_DIFFERENTIATION_NUM_NTAR,MATCH(A2,PT_DIFFERENTIATION_NTAR_ID,0))</f>
        <v>#N/A</v>
      </c>
      <c r="T2" s="76" t="s">
        <v>124</v>
      </c>
      <c r="U2" s="179"/>
      <c r="V2" s="1331"/>
      <c r="W2" s="1332"/>
      <c r="X2" s="1332"/>
      <c r="Y2" s="1332"/>
      <c r="Z2" s="1332"/>
      <c r="AA2" s="1332"/>
      <c r="AB2" s="1333"/>
      <c r="AC2" s="1331" t="e">
        <f>INDEX(PT_DIFFERENTIATION_NTAR,MATCH(A2,PT_DIFFERENTIATION_NTAR_ID,0))</f>
        <v>#N/A</v>
      </c>
      <c r="AD2" s="1332"/>
      <c r="AE2" s="1332"/>
      <c r="AF2" s="1332"/>
      <c r="AG2" s="1332"/>
      <c r="AH2" s="1332"/>
      <c r="AI2" s="1332"/>
      <c r="AJ2" s="1333"/>
      <c r="AK2" s="7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9"/>
      <c r="AN2" s="79" t="str">
        <f t="shared" ref="AN2:AN13" si="0">IF(T2="","",T2)</f>
        <v>Наименование тарифа</v>
      </c>
      <c r="AO2" s="79"/>
      <c r="AP2" s="79"/>
    </row>
    <row r="3" spans="1:42" ht="23.25" hidden="1" customHeight="1">
      <c r="A3" s="822"/>
      <c r="B3" s="822"/>
      <c r="C3" s="822"/>
      <c r="D3" s="822"/>
      <c r="E3" s="1338"/>
      <c r="F3" s="1337">
        <v>1</v>
      </c>
      <c r="G3" s="822"/>
      <c r="H3" s="822"/>
      <c r="I3" s="822"/>
      <c r="J3" s="822"/>
      <c r="K3" s="822"/>
      <c r="L3" s="823"/>
      <c r="M3" s="452"/>
      <c r="N3" s="452"/>
      <c r="O3" s="452"/>
      <c r="P3" s="68"/>
      <c r="Q3" s="217"/>
      <c r="R3" s="218"/>
      <c r="S3" s="755" t="e">
        <f>INDEX(PT_DIFFERENTIATION_NUM_TER,MATCH(B3,PT_DIFFERENTIATION_TER_ID,0))</f>
        <v>#N/A</v>
      </c>
      <c r="T3" s="187" t="s">
        <v>1462</v>
      </c>
      <c r="U3" s="179"/>
      <c r="V3" s="1331"/>
      <c r="W3" s="1332"/>
      <c r="X3" s="1332"/>
      <c r="Y3" s="1332"/>
      <c r="Z3" s="1332"/>
      <c r="AA3" s="1332"/>
      <c r="AB3" s="1333"/>
      <c r="AC3" s="1331" t="e">
        <f>INDEX(PT_DIFFERENTIATION_TER,MATCH(B3,PT_DIFFERENTIATION_TER_ID,0))</f>
        <v>#N/A</v>
      </c>
      <c r="AD3" s="1332"/>
      <c r="AE3" s="1332"/>
      <c r="AF3" s="1332"/>
      <c r="AG3" s="1332"/>
      <c r="AH3" s="1332"/>
      <c r="AI3" s="1332"/>
      <c r="AJ3" s="1333"/>
      <c r="AK3" s="782" t="s">
        <v>1463</v>
      </c>
      <c r="AM3" s="79"/>
      <c r="AN3" s="79" t="str">
        <f t="shared" si="0"/>
        <v>Территория действия тарифа</v>
      </c>
      <c r="AO3" s="79"/>
      <c r="AP3" s="79"/>
    </row>
    <row r="4" spans="1:42" ht="23.25" hidden="1" customHeight="1">
      <c r="A4" s="822"/>
      <c r="B4" s="822"/>
      <c r="C4" s="822"/>
      <c r="D4" s="822"/>
      <c r="E4" s="1338"/>
      <c r="F4" s="1338"/>
      <c r="G4" s="1337">
        <v>1</v>
      </c>
      <c r="H4" s="822"/>
      <c r="I4" s="822"/>
      <c r="J4" s="822"/>
      <c r="K4" s="822"/>
      <c r="L4" s="823"/>
      <c r="M4" s="452"/>
      <c r="N4" s="452"/>
      <c r="O4" s="452"/>
      <c r="P4" s="219"/>
      <c r="Q4" s="217"/>
      <c r="R4" s="218"/>
      <c r="S4" s="755" t="e">
        <f>INDEX(PT_DIFFERENTIATION_NUM_CS,MATCH(C4,PT_DIFFERENTIATION_CS_ID,0))</f>
        <v>#N/A</v>
      </c>
      <c r="T4" s="188" t="s">
        <v>1681</v>
      </c>
      <c r="U4" s="179"/>
      <c r="V4" s="1331"/>
      <c r="W4" s="1332"/>
      <c r="X4" s="1332"/>
      <c r="Y4" s="1332"/>
      <c r="Z4" s="1332"/>
      <c r="AA4" s="1332"/>
      <c r="AB4" s="1333"/>
      <c r="AC4" s="1331" t="e">
        <f>INDEX(PT_DIFFERENTIATION_CS,MATCH(C4,PT_DIFFERENTIATION_CS_ID,0))</f>
        <v>#N/A</v>
      </c>
      <c r="AD4" s="1332"/>
      <c r="AE4" s="1332"/>
      <c r="AF4" s="1332"/>
      <c r="AG4" s="1332"/>
      <c r="AH4" s="1332"/>
      <c r="AI4" s="1332"/>
      <c r="AJ4" s="1333"/>
      <c r="AK4" s="782" t="s">
        <v>1682</v>
      </c>
      <c r="AM4" s="79"/>
      <c r="AN4" s="79" t="str">
        <f t="shared" si="0"/>
        <v>Наименование централизованной системы холодного водоснабжения</v>
      </c>
      <c r="AO4" s="79"/>
      <c r="AP4" s="79"/>
    </row>
    <row r="5" spans="1:42" ht="23.25" hidden="1" customHeight="1">
      <c r="A5" s="822"/>
      <c r="B5" s="822"/>
      <c r="C5" s="822"/>
      <c r="D5" s="822"/>
      <c r="E5" s="1338"/>
      <c r="F5" s="1338"/>
      <c r="G5" s="1338"/>
      <c r="H5" s="1338"/>
      <c r="I5" s="1339" t="e">
        <f>S4&amp;".1"</f>
        <v>#N/A</v>
      </c>
      <c r="J5" s="822"/>
      <c r="K5" s="822"/>
      <c r="L5" s="823"/>
      <c r="P5" s="1259">
        <v>1</v>
      </c>
      <c r="Q5" s="127"/>
      <c r="R5" s="221"/>
      <c r="S5" s="755" t="e">
        <f>$I5</f>
        <v>#N/A</v>
      </c>
      <c r="T5" s="172" t="s">
        <v>1683</v>
      </c>
      <c r="U5" s="179"/>
      <c r="V5" s="1429"/>
      <c r="W5" s="1430"/>
      <c r="X5" s="1430"/>
      <c r="Y5" s="1430"/>
      <c r="Z5" s="1430"/>
      <c r="AA5" s="1430"/>
      <c r="AB5" s="1431"/>
      <c r="AC5" s="1432"/>
      <c r="AD5" s="1433"/>
      <c r="AE5" s="1433"/>
      <c r="AF5" s="1433"/>
      <c r="AG5" s="1433"/>
      <c r="AH5" s="1433"/>
      <c r="AI5" s="1433"/>
      <c r="AJ5" s="1434"/>
      <c r="AK5" s="782" t="s">
        <v>1684</v>
      </c>
      <c r="AM5" s="79"/>
      <c r="AN5" s="79" t="str">
        <f t="shared" si="0"/>
        <v>Наименование признака дифференциации</v>
      </c>
      <c r="AO5" s="79"/>
      <c r="AP5" s="79"/>
    </row>
    <row r="6" spans="1:42" ht="23.25" hidden="1" customHeight="1">
      <c r="A6" s="822"/>
      <c r="B6" s="822"/>
      <c r="C6" s="822"/>
      <c r="D6" s="822"/>
      <c r="E6" s="1338"/>
      <c r="F6" s="1338"/>
      <c r="G6" s="1338"/>
      <c r="H6" s="1338"/>
      <c r="I6" s="1340"/>
      <c r="J6" s="1339" t="e">
        <f>I5&amp;".1"</f>
        <v>#N/A</v>
      </c>
      <c r="K6" s="822"/>
      <c r="L6" s="823" t="s">
        <v>1471</v>
      </c>
      <c r="P6" s="1259"/>
      <c r="Q6" s="1259">
        <v>1</v>
      </c>
      <c r="R6" s="222"/>
      <c r="S6" s="755" t="e">
        <f>$J6</f>
        <v>#N/A</v>
      </c>
      <c r="T6" s="173" t="s">
        <v>1472</v>
      </c>
      <c r="U6" s="179"/>
      <c r="V6" s="1326"/>
      <c r="W6" s="1327"/>
      <c r="X6" s="1327"/>
      <c r="Y6" s="1327"/>
      <c r="Z6" s="1327"/>
      <c r="AA6" s="1327"/>
      <c r="AB6" s="1328"/>
      <c r="AC6" s="1326"/>
      <c r="AD6" s="1327"/>
      <c r="AE6" s="1327"/>
      <c r="AF6" s="1327"/>
      <c r="AG6" s="1327"/>
      <c r="AH6" s="1327"/>
      <c r="AI6" s="1327"/>
      <c r="AJ6" s="1328"/>
      <c r="AK6" s="809" t="s">
        <v>1685</v>
      </c>
      <c r="AM6" s="79"/>
      <c r="AN6" s="79" t="str">
        <f t="shared" si="0"/>
        <v>Группа потребителей</v>
      </c>
      <c r="AO6" s="79"/>
      <c r="AP6" s="79"/>
    </row>
    <row r="7" spans="1:42" ht="23.25" hidden="1" customHeight="1">
      <c r="A7" s="822"/>
      <c r="B7" s="822"/>
      <c r="C7" s="822"/>
      <c r="D7" s="822"/>
      <c r="E7" s="1338"/>
      <c r="F7" s="1338"/>
      <c r="G7" s="1338"/>
      <c r="H7" s="1338"/>
      <c r="I7" s="1340"/>
      <c r="J7" s="1340"/>
      <c r="K7" s="1339" t="e">
        <f>J6&amp;".1"</f>
        <v>#N/A</v>
      </c>
      <c r="L7" s="823"/>
      <c r="P7" s="1259"/>
      <c r="Q7" s="1259"/>
      <c r="R7" s="222">
        <v>1</v>
      </c>
      <c r="S7" s="755" t="e">
        <f>$K7</f>
        <v>#N/A</v>
      </c>
      <c r="T7" s="853"/>
      <c r="U7" s="179"/>
      <c r="V7" s="1054"/>
      <c r="W7" s="1054"/>
      <c r="X7" s="1056"/>
      <c r="Y7" s="1341"/>
      <c r="Z7" s="1133" t="s">
        <v>67</v>
      </c>
      <c r="AA7" s="1341"/>
      <c r="AB7" s="1133" t="s">
        <v>67</v>
      </c>
      <c r="AC7" s="1054"/>
      <c r="AD7" s="1054"/>
      <c r="AE7" s="1056"/>
      <c r="AF7" s="1341"/>
      <c r="AG7" s="1133" t="s">
        <v>67</v>
      </c>
      <c r="AH7" s="1343"/>
      <c r="AI7" s="1133" t="s">
        <v>67</v>
      </c>
      <c r="AJ7" s="1082"/>
      <c r="AK7" s="143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7" t="e">
        <f ca="1">STRCHECKDATE(V8:AJ8)</f>
        <v>#NAME?</v>
      </c>
      <c r="AM7" s="79"/>
      <c r="AN7" s="79" t="str">
        <f t="shared" si="0"/>
        <v/>
      </c>
      <c r="AO7" s="79"/>
      <c r="AP7" s="79"/>
    </row>
    <row r="8" spans="1:42" ht="0.75" hidden="1" customHeight="1">
      <c r="A8" s="822"/>
      <c r="B8" s="822"/>
      <c r="C8" s="822"/>
      <c r="D8" s="822"/>
      <c r="E8" s="1338"/>
      <c r="F8" s="1338"/>
      <c r="G8" s="1338"/>
      <c r="H8" s="1338"/>
      <c r="I8" s="1340"/>
      <c r="J8" s="1340"/>
      <c r="K8" s="1339"/>
      <c r="L8" s="823"/>
      <c r="P8" s="1259"/>
      <c r="Q8" s="1259"/>
      <c r="R8" s="222"/>
      <c r="S8" s="74"/>
      <c r="T8" s="179"/>
      <c r="U8" s="179"/>
      <c r="V8" s="1055"/>
      <c r="W8" s="1055"/>
      <c r="X8" s="1057" t="str">
        <f>Y7&amp;"-"&amp;AA7</f>
        <v>-</v>
      </c>
      <c r="Y8" s="1342"/>
      <c r="Z8" s="1133"/>
      <c r="AA8" s="1342"/>
      <c r="AB8" s="1133"/>
      <c r="AC8" s="1055"/>
      <c r="AD8" s="1055"/>
      <c r="AE8" s="1057" t="str">
        <f>AF7&amp;"-"&amp;AH7</f>
        <v>-</v>
      </c>
      <c r="AF8" s="1342"/>
      <c r="AG8" s="1133"/>
      <c r="AH8" s="1344"/>
      <c r="AI8" s="1133"/>
      <c r="AJ8" s="1083"/>
      <c r="AK8" s="1435"/>
      <c r="AM8" s="79"/>
      <c r="AN8" s="79" t="str">
        <f t="shared" si="0"/>
        <v/>
      </c>
      <c r="AO8" s="79"/>
      <c r="AP8" s="79"/>
    </row>
    <row r="9" spans="1:42" ht="21" hidden="1" customHeight="1">
      <c r="A9" s="822"/>
      <c r="B9" s="822"/>
      <c r="C9" s="822"/>
      <c r="D9" s="822"/>
      <c r="E9" s="1338"/>
      <c r="F9" s="1338"/>
      <c r="G9" s="1338"/>
      <c r="H9" s="1338"/>
      <c r="I9" s="1340"/>
      <c r="J9" s="1339"/>
      <c r="K9" s="822"/>
      <c r="L9" s="823"/>
      <c r="P9" s="1259"/>
      <c r="Q9" s="1259"/>
      <c r="R9" s="221"/>
      <c r="S9" s="796"/>
      <c r="T9" s="174" t="s">
        <v>1686</v>
      </c>
      <c r="U9" s="228"/>
      <c r="V9" s="228"/>
      <c r="W9" s="228"/>
      <c r="X9" s="228"/>
      <c r="Y9" s="228"/>
      <c r="Z9" s="228"/>
      <c r="AA9" s="228"/>
      <c r="AB9" s="228"/>
      <c r="AC9" s="228"/>
      <c r="AD9" s="228"/>
      <c r="AE9" s="228"/>
      <c r="AF9" s="228"/>
      <c r="AG9" s="228"/>
      <c r="AH9" s="228"/>
      <c r="AI9" s="228"/>
      <c r="AJ9" s="228"/>
      <c r="AK9" s="782" t="s">
        <v>1687</v>
      </c>
      <c r="AM9" s="79"/>
      <c r="AN9" s="79" t="str">
        <f t="shared" si="0"/>
        <v>Добавить значение признака дифференциации</v>
      </c>
      <c r="AO9" s="79"/>
      <c r="AP9" s="79"/>
    </row>
    <row r="10" spans="1:42" ht="21" hidden="1" customHeight="1">
      <c r="A10" s="822"/>
      <c r="B10" s="822"/>
      <c r="C10" s="822"/>
      <c r="D10" s="822"/>
      <c r="E10" s="1338"/>
      <c r="F10" s="1338"/>
      <c r="G10" s="1338"/>
      <c r="H10" s="1338"/>
      <c r="I10" s="1339"/>
      <c r="J10" s="822"/>
      <c r="K10" s="822"/>
      <c r="L10" s="823"/>
      <c r="P10" s="1259"/>
      <c r="Q10" s="127"/>
      <c r="R10" s="221"/>
      <c r="S10" s="796"/>
      <c r="T10" s="226" t="s">
        <v>1477</v>
      </c>
      <c r="U10" s="228"/>
      <c r="V10" s="228"/>
      <c r="W10" s="228"/>
      <c r="X10" s="228"/>
      <c r="Y10" s="228"/>
      <c r="Z10" s="228"/>
      <c r="AA10" s="228"/>
      <c r="AB10" s="205"/>
      <c r="AC10" s="228"/>
      <c r="AD10" s="228"/>
      <c r="AE10" s="228"/>
      <c r="AF10" s="228"/>
      <c r="AG10" s="228"/>
      <c r="AH10" s="228"/>
      <c r="AI10" s="205"/>
      <c r="AJ10" s="228"/>
      <c r="AK10" s="854"/>
      <c r="AM10" s="79"/>
      <c r="AN10" s="79" t="str">
        <f t="shared" si="0"/>
        <v>Добавить группу потребителей</v>
      </c>
      <c r="AO10" s="79"/>
      <c r="AP10" s="79"/>
    </row>
    <row r="11" spans="1:42" ht="21" hidden="1" customHeight="1">
      <c r="A11" s="822"/>
      <c r="B11" s="822"/>
      <c r="C11" s="822"/>
      <c r="D11" s="822"/>
      <c r="E11" s="1338"/>
      <c r="F11" s="1338"/>
      <c r="G11" s="1338"/>
      <c r="H11" s="1337"/>
      <c r="I11" s="822"/>
      <c r="J11" s="822"/>
      <c r="K11" s="822"/>
      <c r="L11" s="823"/>
      <c r="M11" s="452"/>
      <c r="N11" s="452"/>
      <c r="O11" s="72"/>
      <c r="P11" s="43"/>
      <c r="Q11" s="231"/>
      <c r="R11" s="220"/>
      <c r="S11" s="796"/>
      <c r="T11" s="113" t="s">
        <v>1688</v>
      </c>
      <c r="U11" s="228"/>
      <c r="V11" s="228"/>
      <c r="W11" s="228"/>
      <c r="X11" s="228"/>
      <c r="Y11" s="228"/>
      <c r="Z11" s="228"/>
      <c r="AA11" s="228"/>
      <c r="AB11" s="205"/>
      <c r="AC11" s="228"/>
      <c r="AD11" s="228"/>
      <c r="AE11" s="228"/>
      <c r="AF11" s="228"/>
      <c r="AG11" s="228"/>
      <c r="AH11" s="228"/>
      <c r="AI11" s="205"/>
      <c r="AJ11" s="228"/>
      <c r="AK11" s="182"/>
      <c r="AM11" s="79"/>
      <c r="AN11" s="79" t="str">
        <f t="shared" si="0"/>
        <v>Добавить наименование признака дифференциации</v>
      </c>
      <c r="AO11" s="79"/>
      <c r="AP11" s="79"/>
    </row>
    <row r="12" spans="1:42" s="77" customFormat="1" ht="0.75" hidden="1" customHeight="1">
      <c r="A12" s="150"/>
      <c r="B12" s="150"/>
      <c r="C12" s="150"/>
      <c r="D12" s="150"/>
      <c r="E12" s="1338"/>
      <c r="F12" s="1337"/>
      <c r="G12" s="150"/>
      <c r="H12" s="150"/>
      <c r="I12" s="150"/>
      <c r="J12" s="150"/>
      <c r="K12" s="150"/>
      <c r="L12" s="373"/>
      <c r="M12" s="815"/>
      <c r="N12" s="815"/>
      <c r="P12" s="111"/>
      <c r="Q12" s="811"/>
      <c r="R12" s="111"/>
      <c r="S12" s="816"/>
      <c r="T12" s="818" t="s">
        <v>1438</v>
      </c>
      <c r="U12" s="338"/>
      <c r="V12" s="338"/>
      <c r="W12" s="338"/>
      <c r="X12" s="338"/>
      <c r="Y12" s="338"/>
      <c r="Z12" s="338"/>
      <c r="AA12" s="338"/>
      <c r="AB12" s="338"/>
      <c r="AC12" s="338"/>
      <c r="AD12" s="338"/>
      <c r="AE12" s="338"/>
      <c r="AF12" s="338"/>
      <c r="AG12" s="338"/>
      <c r="AH12" s="338"/>
      <c r="AI12" s="338"/>
      <c r="AJ12" s="338"/>
      <c r="AK12" s="338"/>
      <c r="AM12" s="79"/>
      <c r="AN12" s="79" t="str">
        <f t="shared" si="0"/>
        <v>Добавить централизованную систему для дифференциации</v>
      </c>
      <c r="AO12" s="79"/>
      <c r="AP12" s="79"/>
    </row>
    <row r="13" spans="1:42" s="77" customFormat="1" ht="0.75" hidden="1" customHeight="1">
      <c r="A13" s="150"/>
      <c r="B13" s="150"/>
      <c r="C13" s="150"/>
      <c r="D13" s="150"/>
      <c r="E13" s="1337"/>
      <c r="F13" s="150"/>
      <c r="G13" s="150"/>
      <c r="H13" s="150"/>
      <c r="I13" s="150"/>
      <c r="J13" s="150"/>
      <c r="K13" s="150"/>
      <c r="L13" s="373"/>
      <c r="M13" s="815"/>
      <c r="N13" s="815"/>
      <c r="P13" s="111"/>
      <c r="Q13" s="811"/>
      <c r="R13" s="111"/>
      <c r="S13" s="816"/>
      <c r="T13" s="818" t="s">
        <v>1439</v>
      </c>
      <c r="U13" s="338"/>
      <c r="V13" s="338"/>
      <c r="W13" s="338"/>
      <c r="X13" s="338"/>
      <c r="Y13" s="338"/>
      <c r="Z13" s="338"/>
      <c r="AA13" s="338"/>
      <c r="AB13" s="338"/>
      <c r="AC13" s="338"/>
      <c r="AD13" s="338"/>
      <c r="AE13" s="338"/>
      <c r="AF13" s="338"/>
      <c r="AG13" s="338"/>
      <c r="AH13" s="338"/>
      <c r="AI13" s="338"/>
      <c r="AJ13" s="338"/>
      <c r="AK13" s="338"/>
      <c r="AM13" s="79"/>
      <c r="AN13" s="79" t="str">
        <f t="shared" si="0"/>
        <v>Добавить территорию для дифференциации</v>
      </c>
      <c r="AO13" s="79"/>
      <c r="AP13" s="79"/>
    </row>
    <row r="14" spans="1:42" ht="14.25" hidden="1" customHeight="1"/>
    <row r="15" spans="1:42" ht="14.25" hidden="1" customHeight="1">
      <c r="AC15" s="1058"/>
      <c r="AD15" s="1058"/>
      <c r="AE15" s="1059"/>
      <c r="AF15" s="1335"/>
      <c r="AG15" s="1334" t="s">
        <v>67</v>
      </c>
      <c r="AH15" s="1335"/>
      <c r="AI15" s="1334" t="s">
        <v>67</v>
      </c>
    </row>
    <row r="16" spans="1:42" ht="14.25" hidden="1" customHeight="1">
      <c r="AC16" s="1058"/>
      <c r="AD16" s="1058"/>
      <c r="AE16" s="1057" t="str">
        <f>AF15&amp;"-"&amp;AH15</f>
        <v>-</v>
      </c>
      <c r="AF16" s="1334"/>
      <c r="AG16" s="1334"/>
      <c r="AH16" s="1334"/>
      <c r="AI16" s="1334"/>
    </row>
    <row r="17" spans="1:42" ht="14.25" hidden="1" customHeight="1"/>
    <row r="18" spans="1:42" s="72" customFormat="1" ht="22.5" hidden="1" customHeight="1">
      <c r="L18" s="388"/>
      <c r="M18" s="541"/>
      <c r="N18" s="541"/>
      <c r="O18" s="824" t="s">
        <v>1479</v>
      </c>
      <c r="P18" s="541"/>
      <c r="Q18" s="825"/>
      <c r="R18" s="825"/>
      <c r="S18" s="452"/>
      <c r="Y18" s="824"/>
      <c r="AA18" s="824"/>
      <c r="AF18" s="824"/>
      <c r="AH18" s="824"/>
      <c r="AL18" s="77"/>
      <c r="AM18" s="77"/>
      <c r="AN18" s="77"/>
      <c r="AO18" s="77"/>
      <c r="AP18" s="77"/>
    </row>
    <row r="19" spans="1:42" s="72" customFormat="1" ht="14.25" hidden="1" customHeight="1">
      <c r="L19" s="388"/>
      <c r="M19" s="541"/>
      <c r="N19" s="541"/>
      <c r="O19" s="541"/>
      <c r="P19" s="541"/>
      <c r="Q19" s="825"/>
      <c r="R19" s="825"/>
      <c r="S19" s="452"/>
      <c r="AL19" s="77"/>
      <c r="AM19" s="77"/>
      <c r="AN19" s="77"/>
      <c r="AO19" s="77"/>
      <c r="AP19" s="77"/>
    </row>
    <row r="20" spans="1:42" s="72" customFormat="1" ht="12" hidden="1" customHeight="1">
      <c r="L20" s="388"/>
      <c r="M20" s="541"/>
      <c r="N20" s="541"/>
      <c r="O20" s="823" t="s">
        <v>1480</v>
      </c>
      <c r="P20" s="541"/>
      <c r="Q20" s="855"/>
      <c r="R20" s="855"/>
      <c r="S20" s="452"/>
      <c r="T20" s="72" t="s">
        <v>1481</v>
      </c>
      <c r="Z20" s="91" t="s">
        <v>1482</v>
      </c>
      <c r="AB20" s="91" t="s">
        <v>1483</v>
      </c>
      <c r="AC20" s="72" t="s">
        <v>1481</v>
      </c>
      <c r="AG20" s="91" t="s">
        <v>1484</v>
      </c>
      <c r="AI20" s="91" t="s">
        <v>1483</v>
      </c>
    </row>
    <row r="21" spans="1:42" ht="14.25" hidden="1" customHeight="1">
      <c r="O21" s="823"/>
    </row>
    <row r="22" spans="1:42" ht="14.25" hidden="1" customHeight="1">
      <c r="O22" s="823"/>
    </row>
    <row r="23" spans="1:42" ht="14.25" customHeight="1">
      <c r="Q23" s="36"/>
      <c r="R23" s="36"/>
      <c r="S23" s="793"/>
      <c r="T23" s="25"/>
      <c r="U23" s="25"/>
    </row>
    <row r="24" spans="1:42" ht="32.25" customHeight="1">
      <c r="Q24" s="36"/>
      <c r="R24" s="36"/>
      <c r="S24" s="1181"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1181"/>
      <c r="U24" s="1181"/>
      <c r="V24" s="1181"/>
      <c r="W24" s="1181"/>
      <c r="X24" s="1181"/>
      <c r="Y24" s="1181"/>
      <c r="Z24" s="1181"/>
      <c r="AA24" s="1181"/>
      <c r="AB24" s="1181"/>
      <c r="AC24" s="1181"/>
      <c r="AD24" s="1181"/>
      <c r="AE24" s="1181"/>
      <c r="AF24" s="1181"/>
      <c r="AG24" s="1181"/>
      <c r="AH24" s="1181"/>
      <c r="AI24" s="69"/>
    </row>
    <row r="25" spans="1:42" ht="14.25" customHeight="1">
      <c r="Q25" s="36"/>
      <c r="R25" s="36"/>
      <c r="S25" s="1204" t="str">
        <f>IF(org=0,"Не определено",org)</f>
        <v>ООО "ТЕПЛО ПЛЮС"</v>
      </c>
      <c r="T25" s="1204"/>
      <c r="U25" s="1204"/>
      <c r="V25" s="1204"/>
      <c r="W25" s="1204"/>
      <c r="X25" s="1204"/>
      <c r="Y25" s="1204"/>
      <c r="Z25" s="1204"/>
      <c r="AA25" s="1204"/>
      <c r="AB25" s="1204"/>
      <c r="AC25" s="1204"/>
      <c r="AD25" s="1204"/>
      <c r="AE25" s="1204"/>
      <c r="AF25" s="1204"/>
      <c r="AG25" s="1204"/>
      <c r="AH25" s="1204"/>
      <c r="AI25" s="69"/>
    </row>
    <row r="26" spans="1:42" ht="14.25" hidden="1" customHeight="1">
      <c r="Q26" s="36"/>
      <c r="R26" s="36"/>
      <c r="S26" s="793"/>
      <c r="T26" s="25"/>
      <c r="U26" s="25"/>
      <c r="V26" s="202"/>
      <c r="W26" s="202"/>
      <c r="X26" s="202"/>
      <c r="Y26" s="202"/>
      <c r="Z26" s="202"/>
      <c r="AA26" s="202"/>
      <c r="AB26" s="202"/>
      <c r="AC26" s="202"/>
      <c r="AD26" s="202"/>
      <c r="AE26" s="202"/>
      <c r="AF26" s="202"/>
      <c r="AG26" s="202"/>
      <c r="AH26" s="202"/>
      <c r="AI26" s="202"/>
    </row>
    <row r="27" spans="1:42" s="44" customFormat="1" ht="25.5" hidden="1" customHeight="1">
      <c r="A27" s="91"/>
      <c r="B27" s="91"/>
      <c r="C27" s="91"/>
      <c r="D27" s="91"/>
      <c r="E27" s="91"/>
      <c r="F27" s="91"/>
      <c r="G27" s="91"/>
      <c r="H27" s="91"/>
      <c r="I27" s="91"/>
      <c r="J27" s="91"/>
      <c r="K27" s="91"/>
      <c r="L27" s="823"/>
      <c r="M27" s="91"/>
      <c r="N27" s="91"/>
      <c r="O27" s="91"/>
      <c r="S27" s="1329" t="s">
        <v>39</v>
      </c>
      <c r="T27" s="1329"/>
      <c r="U27" s="826"/>
      <c r="V27" s="1330" t="str">
        <f>IF(TITLE_NAME_OR_PR_CHANGE="",IF(TITLE_NAME_OR_PR="","",TITLE_NAME_OR_PR),TITLE_NAME_OR_PR_CHANGE)</f>
        <v/>
      </c>
      <c r="W27" s="1330"/>
      <c r="X27" s="1330"/>
      <c r="Y27" s="1330"/>
      <c r="Z27" s="1330"/>
      <c r="AA27" s="1330"/>
      <c r="AB27" s="24"/>
      <c r="AC27" s="1330" t="str">
        <f>IF(TITLE_NAME_OR_PR_CHANGE="",IF(TITLE_NAME_OR_PR="","",TITLE_NAME_OR_PR),TITLE_NAME_OR_PR_CHANGE)</f>
        <v/>
      </c>
      <c r="AD27" s="1330"/>
      <c r="AE27" s="1330"/>
      <c r="AF27" s="1330"/>
      <c r="AG27" s="1330"/>
      <c r="AH27" s="1330"/>
      <c r="AI27" s="24"/>
      <c r="AJ27" s="24"/>
      <c r="AK27" s="171"/>
      <c r="AL27" s="79"/>
      <c r="AM27" s="79"/>
      <c r="AN27" s="79"/>
      <c r="AO27" s="79"/>
      <c r="AP27" s="79"/>
    </row>
    <row r="28" spans="1:42" s="44" customFormat="1" ht="18.75" hidden="1" customHeight="1">
      <c r="A28" s="91"/>
      <c r="B28" s="91"/>
      <c r="C28" s="91"/>
      <c r="D28" s="91"/>
      <c r="E28" s="91"/>
      <c r="F28" s="91"/>
      <c r="G28" s="91"/>
      <c r="H28" s="91"/>
      <c r="I28" s="91"/>
      <c r="J28" s="91"/>
      <c r="K28" s="91"/>
      <c r="L28" s="823"/>
      <c r="M28" s="91"/>
      <c r="N28" s="91"/>
      <c r="O28" s="91"/>
      <c r="S28" s="1329" t="s">
        <v>1485</v>
      </c>
      <c r="T28" s="1329"/>
      <c r="U28" s="826"/>
      <c r="V28" s="1330" t="str">
        <f>IF(TITLE_DATE_CHANGE_PERIOD="",IF(TITLE_DATE_PR="","",TITLE_DATE_PR),TITLE_DATE_CHANGE_PERIOD)</f>
        <v/>
      </c>
      <c r="W28" s="1330"/>
      <c r="X28" s="1330"/>
      <c r="Y28" s="1330"/>
      <c r="Z28" s="1330"/>
      <c r="AA28" s="1330"/>
      <c r="AB28" s="24"/>
      <c r="AC28" s="1330" t="str">
        <f>IF(TITLE_DATE_CHANGE_PERIOD="",IF(TITLE_DATE_PR="","",TITLE_DATE_PR),TITLE_DATE_CHANGE_PERIOD)</f>
        <v/>
      </c>
      <c r="AD28" s="1330"/>
      <c r="AE28" s="1330"/>
      <c r="AF28" s="1330"/>
      <c r="AG28" s="1330"/>
      <c r="AH28" s="1330"/>
      <c r="AI28" s="24"/>
      <c r="AJ28" s="24"/>
      <c r="AK28" s="171"/>
      <c r="AL28" s="79"/>
      <c r="AM28" s="79"/>
      <c r="AN28" s="79"/>
      <c r="AO28" s="79"/>
      <c r="AP28" s="79"/>
    </row>
    <row r="29" spans="1:42" s="44" customFormat="1" ht="18.75" hidden="1" customHeight="1">
      <c r="A29" s="91"/>
      <c r="B29" s="91"/>
      <c r="C29" s="91"/>
      <c r="D29" s="91"/>
      <c r="E29" s="91"/>
      <c r="F29" s="91"/>
      <c r="G29" s="91"/>
      <c r="H29" s="91"/>
      <c r="I29" s="91"/>
      <c r="J29" s="91"/>
      <c r="K29" s="91"/>
      <c r="L29" s="823"/>
      <c r="M29" s="91"/>
      <c r="N29" s="91"/>
      <c r="O29" s="91"/>
      <c r="S29" s="1329" t="s">
        <v>1486</v>
      </c>
      <c r="T29" s="1329"/>
      <c r="U29" s="826"/>
      <c r="V29" s="1330" t="str">
        <f>IF(TITLE_NUMBER_PR_CHANGE="",IF(TITLE_NUMBER_PR="","",TITLE_NUMBER_PR),TITLE_NUMBER_PR_CHANGE)</f>
        <v/>
      </c>
      <c r="W29" s="1330"/>
      <c r="X29" s="1330"/>
      <c r="Y29" s="1330"/>
      <c r="Z29" s="1330"/>
      <c r="AA29" s="1330"/>
      <c r="AB29" s="24"/>
      <c r="AC29" s="1330" t="str">
        <f>IF(TITLE_NUMBER_PR_CHANGE="",IF(TITLE_NUMBER_PR="","",TITLE_NUMBER_PR),TITLE_NUMBER_PR_CHANGE)</f>
        <v/>
      </c>
      <c r="AD29" s="1330"/>
      <c r="AE29" s="1330"/>
      <c r="AF29" s="1330"/>
      <c r="AG29" s="1330"/>
      <c r="AH29" s="1330"/>
      <c r="AI29" s="24"/>
      <c r="AJ29" s="24"/>
      <c r="AK29" s="171"/>
      <c r="AL29" s="79"/>
      <c r="AM29" s="79"/>
      <c r="AN29" s="79"/>
      <c r="AO29" s="79"/>
      <c r="AP29" s="79"/>
    </row>
    <row r="30" spans="1:42" s="44" customFormat="1" ht="18.75" hidden="1" customHeight="1">
      <c r="A30" s="91"/>
      <c r="B30" s="91"/>
      <c r="C30" s="91"/>
      <c r="D30" s="91"/>
      <c r="E30" s="91"/>
      <c r="F30" s="91"/>
      <c r="G30" s="91"/>
      <c r="H30" s="91"/>
      <c r="I30" s="91"/>
      <c r="J30" s="91"/>
      <c r="K30" s="91"/>
      <c r="L30" s="823"/>
      <c r="M30" s="91"/>
      <c r="N30" s="91"/>
      <c r="O30" s="91"/>
      <c r="S30" s="1329" t="s">
        <v>40</v>
      </c>
      <c r="T30" s="1329"/>
      <c r="U30" s="826"/>
      <c r="V30" s="1330" t="str">
        <f>IF(TITLE_IST_PUB_CHANGE="",IF(TITLE_IST_PUB="","",TITLE_IST_PUB),TITLE_IST_PUB_CHANGE)</f>
        <v/>
      </c>
      <c r="W30" s="1330"/>
      <c r="X30" s="1330"/>
      <c r="Y30" s="1330"/>
      <c r="Z30" s="1330"/>
      <c r="AA30" s="1330"/>
      <c r="AB30" s="24"/>
      <c r="AC30" s="1330" t="str">
        <f>IF(TITLE_IST_PUB_CHANGE="",IF(TITLE_IST_PUB="","",TITLE_IST_PUB),TITLE_IST_PUB_CHANGE)</f>
        <v/>
      </c>
      <c r="AD30" s="1330"/>
      <c r="AE30" s="1330"/>
      <c r="AF30" s="1330"/>
      <c r="AG30" s="1330"/>
      <c r="AH30" s="1330"/>
      <c r="AI30" s="24"/>
      <c r="AJ30" s="24"/>
      <c r="AK30" s="171"/>
      <c r="AL30" s="79"/>
      <c r="AM30" s="79"/>
      <c r="AN30" s="79"/>
      <c r="AO30" s="79"/>
      <c r="AP30" s="79"/>
    </row>
    <row r="31" spans="1:42" ht="14.25" hidden="1" customHeight="1">
      <c r="Q31" s="36"/>
      <c r="R31" s="36"/>
      <c r="S31" s="793"/>
      <c r="T31" s="25"/>
      <c r="U31" s="25"/>
      <c r="V31" s="202"/>
      <c r="W31" s="202"/>
      <c r="X31" s="202"/>
      <c r="Y31" s="202"/>
      <c r="Z31" s="202"/>
      <c r="AA31" s="202"/>
      <c r="AB31" s="202"/>
      <c r="AC31" s="202"/>
      <c r="AD31" s="202"/>
      <c r="AE31" s="202"/>
      <c r="AF31" s="202"/>
      <c r="AG31" s="202"/>
      <c r="AH31" s="202"/>
      <c r="AI31" s="202"/>
    </row>
    <row r="32" spans="1:42" s="44" customFormat="1" ht="18.75" hidden="1" customHeight="1">
      <c r="A32" s="91"/>
      <c r="B32" s="91"/>
      <c r="C32" s="91"/>
      <c r="D32" s="91"/>
      <c r="E32" s="91"/>
      <c r="F32" s="91"/>
      <c r="G32" s="91"/>
      <c r="H32" s="91"/>
      <c r="I32" s="91"/>
      <c r="J32" s="91"/>
      <c r="K32" s="91"/>
      <c r="L32" s="823"/>
      <c r="M32" s="91"/>
      <c r="N32" s="91"/>
      <c r="O32" s="91"/>
      <c r="S32" s="1329" t="s">
        <v>1487</v>
      </c>
      <c r="T32" s="1329"/>
      <c r="U32" s="826"/>
      <c r="V32" s="1330" t="str">
        <f>IF(TITLE_DATE_CHANGE_PERIOD="",IF(TITLE_DATE_PR="","",TITLE_DATE_PR),TITLE_DATE_CHANGE_PERIOD)</f>
        <v/>
      </c>
      <c r="W32" s="1330"/>
      <c r="X32" s="1330"/>
      <c r="Y32" s="1330"/>
      <c r="Z32" s="1330"/>
      <c r="AA32" s="1330"/>
      <c r="AB32" s="24"/>
      <c r="AC32" s="1330" t="str">
        <f>IF(TITLE_DATE_CHANGE_PERIOD="",IF(TITLE_DATE_PR="","",TITLE_DATE_PR),TITLE_DATE_CHANGE_PERIOD)</f>
        <v/>
      </c>
      <c r="AD32" s="1330"/>
      <c r="AE32" s="1330"/>
      <c r="AF32" s="1330"/>
      <c r="AG32" s="1330"/>
      <c r="AH32" s="1330"/>
      <c r="AI32" s="24"/>
      <c r="AJ32" s="24"/>
      <c r="AK32" s="171"/>
      <c r="AL32" s="79"/>
      <c r="AM32" s="79"/>
      <c r="AN32" s="79"/>
      <c r="AO32" s="79"/>
      <c r="AP32" s="79"/>
    </row>
    <row r="33" spans="1:42" s="44" customFormat="1" ht="18.75" hidden="1" customHeight="1">
      <c r="A33" s="91"/>
      <c r="B33" s="91"/>
      <c r="C33" s="91"/>
      <c r="D33" s="91"/>
      <c r="E33" s="91"/>
      <c r="F33" s="91"/>
      <c r="G33" s="91"/>
      <c r="H33" s="91"/>
      <c r="I33" s="91"/>
      <c r="J33" s="91"/>
      <c r="K33" s="91"/>
      <c r="L33" s="823"/>
      <c r="M33" s="91"/>
      <c r="N33" s="91"/>
      <c r="O33" s="91"/>
      <c r="S33" s="1329" t="s">
        <v>1488</v>
      </c>
      <c r="T33" s="1329"/>
      <c r="U33" s="826"/>
      <c r="V33" s="1330" t="str">
        <f>IF(TITLE_NUMBER_PR_CHANGE="",IF(TITLE_NUMBER_PR="","",TITLE_NUMBER_PR),TITLE_NUMBER_PR_CHANGE)</f>
        <v/>
      </c>
      <c r="W33" s="1330"/>
      <c r="X33" s="1330"/>
      <c r="Y33" s="1330"/>
      <c r="Z33" s="1330"/>
      <c r="AA33" s="1330"/>
      <c r="AB33" s="24"/>
      <c r="AC33" s="1330" t="str">
        <f>IF(TITLE_NUMBER_PR_CHANGE="",IF(TITLE_NUMBER_PR="","",TITLE_NUMBER_PR),TITLE_NUMBER_PR_CHANGE)</f>
        <v/>
      </c>
      <c r="AD33" s="1330"/>
      <c r="AE33" s="1330"/>
      <c r="AF33" s="1330"/>
      <c r="AG33" s="1330"/>
      <c r="AH33" s="1330"/>
      <c r="AI33" s="24"/>
      <c r="AJ33" s="24"/>
      <c r="AK33" s="171"/>
      <c r="AL33" s="79"/>
      <c r="AM33" s="79"/>
      <c r="AN33" s="79"/>
      <c r="AO33" s="79"/>
      <c r="AP33" s="79"/>
    </row>
    <row r="34" spans="1:42" s="44" customFormat="1" ht="0.75" customHeight="1">
      <c r="A34" s="91"/>
      <c r="B34" s="91"/>
      <c r="C34" s="91"/>
      <c r="D34" s="91"/>
      <c r="E34" s="91"/>
      <c r="F34" s="91"/>
      <c r="G34" s="91"/>
      <c r="H34" s="91"/>
      <c r="I34" s="91"/>
      <c r="J34" s="91"/>
      <c r="K34" s="91"/>
      <c r="L34" s="823"/>
      <c r="M34" s="91"/>
      <c r="N34" s="91"/>
      <c r="O34" s="91"/>
      <c r="S34" s="24"/>
      <c r="T34" s="24"/>
      <c r="U34" s="87"/>
      <c r="V34" s="24"/>
      <c r="W34" s="24"/>
      <c r="X34" s="24"/>
      <c r="Y34" s="24"/>
      <c r="Z34" s="24"/>
      <c r="AA34" s="24"/>
      <c r="AB34" s="77" t="s">
        <v>1489</v>
      </c>
      <c r="AC34" s="24"/>
      <c r="AD34" s="24"/>
      <c r="AE34" s="24"/>
      <c r="AF34" s="24"/>
      <c r="AG34" s="24"/>
      <c r="AH34" s="24"/>
      <c r="AI34" s="77" t="s">
        <v>1489</v>
      </c>
      <c r="AL34" s="79"/>
      <c r="AM34" s="79"/>
      <c r="AN34" s="79"/>
      <c r="AO34" s="79"/>
      <c r="AP34" s="79"/>
    </row>
    <row r="35" spans="1:42" ht="14.25" customHeight="1">
      <c r="Q35" s="36"/>
      <c r="R35" s="36"/>
      <c r="S35" s="793"/>
      <c r="T35" s="25"/>
      <c r="U35" s="766"/>
      <c r="V35" s="1348"/>
      <c r="W35" s="1348"/>
      <c r="X35" s="1348"/>
      <c r="Y35" s="1348"/>
      <c r="Z35" s="1348"/>
      <c r="AA35" s="1348"/>
      <c r="AB35" s="1348"/>
      <c r="AC35" s="1348"/>
      <c r="AD35" s="1348"/>
      <c r="AE35" s="1348"/>
      <c r="AF35" s="1348"/>
      <c r="AG35" s="1348"/>
      <c r="AH35" s="1348"/>
      <c r="AI35" s="1348"/>
    </row>
    <row r="36" spans="1:42" ht="14.25" customHeight="1">
      <c r="Q36" s="36"/>
      <c r="R36" s="36"/>
      <c r="S36" s="1123" t="s">
        <v>292</v>
      </c>
      <c r="T36" s="1123"/>
      <c r="U36" s="1123"/>
      <c r="V36" s="1123"/>
      <c r="W36" s="1123"/>
      <c r="X36" s="1123"/>
      <c r="Y36" s="1123"/>
      <c r="Z36" s="1123"/>
      <c r="AA36" s="1123"/>
      <c r="AB36" s="1123"/>
      <c r="AC36" s="1123"/>
      <c r="AD36" s="1123"/>
      <c r="AE36" s="1123"/>
      <c r="AF36" s="1123"/>
      <c r="AG36" s="1123"/>
      <c r="AH36" s="1123"/>
      <c r="AI36" s="1123"/>
      <c r="AJ36" s="1123"/>
      <c r="AK36" s="1123" t="s">
        <v>293</v>
      </c>
    </row>
    <row r="37" spans="1:42" ht="14.25" customHeight="1">
      <c r="Q37" s="36"/>
      <c r="R37" s="36"/>
      <c r="S37" s="1349" t="s">
        <v>88</v>
      </c>
      <c r="T37" s="1213" t="s">
        <v>1490</v>
      </c>
      <c r="U37" s="180"/>
      <c r="V37" s="1350" t="s">
        <v>1491</v>
      </c>
      <c r="W37" s="1351"/>
      <c r="X37" s="1351"/>
      <c r="Y37" s="1351"/>
      <c r="Z37" s="1351"/>
      <c r="AA37" s="1352"/>
      <c r="AB37" s="1353" t="s">
        <v>1492</v>
      </c>
      <c r="AC37" s="1350" t="s">
        <v>1491</v>
      </c>
      <c r="AD37" s="1351"/>
      <c r="AE37" s="1351"/>
      <c r="AF37" s="1351"/>
      <c r="AG37" s="1351"/>
      <c r="AH37" s="1352"/>
      <c r="AI37" s="1353" t="s">
        <v>1493</v>
      </c>
      <c r="AJ37" s="1356" t="s">
        <v>1494</v>
      </c>
      <c r="AK37" s="1123"/>
    </row>
    <row r="38" spans="1:42" ht="33.75" customHeight="1">
      <c r="Q38" s="36"/>
      <c r="R38" s="36"/>
      <c r="S38" s="1349"/>
      <c r="T38" s="1213"/>
      <c r="U38" s="647"/>
      <c r="V38" s="366" t="s">
        <v>1689</v>
      </c>
      <c r="W38" s="1105" t="s">
        <v>1497</v>
      </c>
      <c r="X38" s="1104"/>
      <c r="Y38" s="1105" t="s">
        <v>1498</v>
      </c>
      <c r="Z38" s="1110"/>
      <c r="AA38" s="1104"/>
      <c r="AB38" s="1354"/>
      <c r="AC38" s="366" t="s">
        <v>1689</v>
      </c>
      <c r="AD38" s="1105" t="s">
        <v>1497</v>
      </c>
      <c r="AE38" s="1104"/>
      <c r="AF38" s="1105" t="s">
        <v>1498</v>
      </c>
      <c r="AG38" s="1110"/>
      <c r="AH38" s="1104"/>
      <c r="AI38" s="1354"/>
      <c r="AJ38" s="1357"/>
      <c r="AK38" s="1123"/>
    </row>
    <row r="39" spans="1:42" ht="33.75" customHeight="1">
      <c r="A39" s="91"/>
      <c r="B39" s="91" t="s">
        <v>136</v>
      </c>
      <c r="C39" s="91" t="s">
        <v>137</v>
      </c>
      <c r="D39" s="91" t="s">
        <v>138</v>
      </c>
      <c r="E39" s="823" t="s">
        <v>1499</v>
      </c>
      <c r="F39" s="823" t="s">
        <v>1500</v>
      </c>
      <c r="G39" s="823" t="s">
        <v>1501</v>
      </c>
      <c r="H39" s="823"/>
      <c r="I39" s="823" t="s">
        <v>1690</v>
      </c>
      <c r="J39" s="823" t="s">
        <v>1504</v>
      </c>
      <c r="K39" s="823" t="s">
        <v>1691</v>
      </c>
      <c r="L39" s="823" t="s">
        <v>1480</v>
      </c>
      <c r="Q39" s="36"/>
      <c r="R39" s="36"/>
      <c r="S39" s="1349"/>
      <c r="T39" s="1213"/>
      <c r="U39" s="181"/>
      <c r="V39" s="366" t="s">
        <v>1692</v>
      </c>
      <c r="W39" s="48" t="s">
        <v>1693</v>
      </c>
      <c r="X39" s="48" t="s">
        <v>1694</v>
      </c>
      <c r="Y39" s="48" t="s">
        <v>1508</v>
      </c>
      <c r="Z39" s="1219" t="s">
        <v>1509</v>
      </c>
      <c r="AA39" s="1233"/>
      <c r="AB39" s="1355"/>
      <c r="AC39" s="366" t="s">
        <v>1692</v>
      </c>
      <c r="AD39" s="48" t="s">
        <v>1693</v>
      </c>
      <c r="AE39" s="48" t="s">
        <v>1694</v>
      </c>
      <c r="AF39" s="48" t="s">
        <v>1508</v>
      </c>
      <c r="AG39" s="1219" t="s">
        <v>1509</v>
      </c>
      <c r="AH39" s="1233"/>
      <c r="AI39" s="1355"/>
      <c r="AJ39" s="1358"/>
      <c r="AK39" s="1123"/>
    </row>
    <row r="40" spans="1:42" s="216" customFormat="1" ht="11.25" hidden="1" customHeight="1">
      <c r="A40" s="91"/>
      <c r="B40" s="91"/>
      <c r="C40" s="91"/>
      <c r="D40" s="91"/>
      <c r="E40" s="91"/>
      <c r="F40" s="91"/>
      <c r="G40" s="91"/>
      <c r="H40" s="91"/>
      <c r="I40" s="91"/>
      <c r="J40" s="91"/>
      <c r="K40" s="91"/>
      <c r="L40" s="823"/>
      <c r="M40" s="541"/>
      <c r="N40" s="541"/>
      <c r="O40" s="541"/>
      <c r="P40" s="768"/>
      <c r="Q40" s="769"/>
      <c r="R40" s="777">
        <v>1</v>
      </c>
      <c r="S40" s="795" t="s">
        <v>109</v>
      </c>
      <c r="T40" s="778" t="s">
        <v>110</v>
      </c>
      <c r="U40" s="767" t="str">
        <f ca="1">OFFSET(U40,0,-1)</f>
        <v>2</v>
      </c>
      <c r="V40" s="779">
        <f ca="1">OFFSET(V40,0,-1)+1</f>
        <v>3</v>
      </c>
      <c r="W40" s="779">
        <f ca="1">OFFSET(W40,0,-1)+1</f>
        <v>4</v>
      </c>
      <c r="X40" s="779">
        <f ca="1">OFFSET(X40,0,-1)+1</f>
        <v>5</v>
      </c>
      <c r="Y40" s="779">
        <f ca="1">OFFSET(Y40,0,-1)+1</f>
        <v>6</v>
      </c>
      <c r="Z40" s="1347">
        <f ca="1">OFFSET(Z40,0,-1)+1</f>
        <v>7</v>
      </c>
      <c r="AA40" s="1347"/>
      <c r="AB40" s="779">
        <f ca="1">OFFSET(AB40,0,-2)+1</f>
        <v>8</v>
      </c>
      <c r="AC40" s="779">
        <f ca="1">OFFSET(AC40,0,-1)+1</f>
        <v>9</v>
      </c>
      <c r="AD40" s="779">
        <f ca="1">OFFSET(AD40,0,-1)+1</f>
        <v>10</v>
      </c>
      <c r="AE40" s="779">
        <f ca="1">OFFSET(AE40,0,-1)+1</f>
        <v>11</v>
      </c>
      <c r="AF40" s="779">
        <f ca="1">OFFSET(AF40,0,-1)+1</f>
        <v>12</v>
      </c>
      <c r="AG40" s="1347">
        <f ca="1">OFFSET(AG40,0,-1)+1</f>
        <v>13</v>
      </c>
      <c r="AH40" s="1347"/>
      <c r="AI40" s="779">
        <f ca="1">OFFSET(AI40,0,-2)+1</f>
        <v>14</v>
      </c>
      <c r="AJ40" s="767">
        <f ca="1">OFFSET(AJ40,0,-1)</f>
        <v>14</v>
      </c>
      <c r="AK40" s="779">
        <f ca="1">OFFSET(AK40,0,-1)+1</f>
        <v>15</v>
      </c>
      <c r="AL40" s="77"/>
      <c r="AM40" s="77"/>
      <c r="AN40" s="77"/>
      <c r="AO40" s="77"/>
      <c r="AP40" s="77"/>
    </row>
    <row r="41" spans="1:42" ht="23.25" customHeight="1">
      <c r="A41" s="822" t="s">
        <v>233</v>
      </c>
      <c r="B41" s="822"/>
      <c r="C41" s="822"/>
      <c r="D41" s="822"/>
      <c r="E41" s="1337">
        <v>1</v>
      </c>
      <c r="F41" s="822"/>
      <c r="G41" s="822"/>
      <c r="H41" s="822"/>
      <c r="I41" s="822"/>
      <c r="J41" s="822"/>
      <c r="K41" s="822"/>
      <c r="L41" s="823"/>
      <c r="M41" s="452"/>
      <c r="N41" s="452"/>
      <c r="O41" s="452"/>
      <c r="Q41" s="43"/>
      <c r="R41" s="220"/>
      <c r="S41" s="755">
        <f>INDEX(PT_DIFFERENTIATION_NUM_NTAR,MATCH(A41,PT_DIFFERENTIATION_NTAR_ID,0))</f>
        <v>0</v>
      </c>
      <c r="T41" s="76" t="s">
        <v>124</v>
      </c>
      <c r="U41" s="179"/>
      <c r="V41" s="1331"/>
      <c r="W41" s="1332"/>
      <c r="X41" s="1332"/>
      <c r="Y41" s="1332"/>
      <c r="Z41" s="1332"/>
      <c r="AA41" s="1332"/>
      <c r="AB41" s="1333"/>
      <c r="AC41" s="1331" t="str">
        <f>INDEX(PT_DIFFERENTIATION_NTAR,MATCH(A41,PT_DIFFERENTIATION_NTAR_ID,0))</f>
        <v/>
      </c>
      <c r="AD41" s="1332"/>
      <c r="AE41" s="1332"/>
      <c r="AF41" s="1332"/>
      <c r="AG41" s="1332"/>
      <c r="AH41" s="1332"/>
      <c r="AI41" s="1332"/>
      <c r="AJ41" s="1333"/>
      <c r="AK41" s="7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9"/>
      <c r="AN41" s="79" t="str">
        <f t="shared" ref="AN41:AN53" si="1">IF(T41="","",T41)</f>
        <v>Наименование тарифа</v>
      </c>
      <c r="AO41" s="79"/>
      <c r="AP41" s="79"/>
    </row>
    <row r="42" spans="1:42" ht="23.25" customHeight="1">
      <c r="A42" s="822" t="s">
        <v>233</v>
      </c>
      <c r="B42" s="822" t="s">
        <v>234</v>
      </c>
      <c r="C42" s="822"/>
      <c r="D42" s="822"/>
      <c r="E42" s="1338"/>
      <c r="F42" s="1337">
        <v>1</v>
      </c>
      <c r="G42" s="822"/>
      <c r="H42" s="822"/>
      <c r="I42" s="822"/>
      <c r="J42" s="822"/>
      <c r="K42" s="822"/>
      <c r="L42" s="823"/>
      <c r="M42" s="452"/>
      <c r="N42" s="452"/>
      <c r="O42" s="452"/>
      <c r="P42" s="68"/>
      <c r="Q42" s="217"/>
      <c r="R42" s="218"/>
      <c r="S42" s="755" t="str">
        <f>INDEX(PT_DIFFERENTIATION_NUM_TER,MATCH(B42,PT_DIFFERENTIATION_TER_ID,0))</f>
        <v>.</v>
      </c>
      <c r="T42" s="187" t="s">
        <v>1462</v>
      </c>
      <c r="U42" s="179"/>
      <c r="V42" s="1331"/>
      <c r="W42" s="1332"/>
      <c r="X42" s="1332"/>
      <c r="Y42" s="1332"/>
      <c r="Z42" s="1332"/>
      <c r="AA42" s="1332"/>
      <c r="AB42" s="1333"/>
      <c r="AC42" s="1331" t="str">
        <f>INDEX(PT_DIFFERENTIATION_TER,MATCH(B42,PT_DIFFERENTIATION_TER_ID,0))</f>
        <v/>
      </c>
      <c r="AD42" s="1332"/>
      <c r="AE42" s="1332"/>
      <c r="AF42" s="1332"/>
      <c r="AG42" s="1332"/>
      <c r="AH42" s="1332"/>
      <c r="AI42" s="1332"/>
      <c r="AJ42" s="1333"/>
      <c r="AK42" s="782" t="s">
        <v>1463</v>
      </c>
      <c r="AM42" s="79"/>
      <c r="AN42" s="79" t="str">
        <f t="shared" si="1"/>
        <v>Территория действия тарифа</v>
      </c>
      <c r="AO42" s="79"/>
      <c r="AP42" s="79"/>
    </row>
    <row r="43" spans="1:42" ht="23.25" customHeight="1">
      <c r="A43" s="822" t="s">
        <v>233</v>
      </c>
      <c r="B43" s="822" t="s">
        <v>234</v>
      </c>
      <c r="C43" s="822" t="s">
        <v>235</v>
      </c>
      <c r="D43" s="822"/>
      <c r="E43" s="1338"/>
      <c r="F43" s="1338"/>
      <c r="G43" s="1337">
        <v>1</v>
      </c>
      <c r="H43" s="822"/>
      <c r="I43" s="822"/>
      <c r="J43" s="822"/>
      <c r="K43" s="822"/>
      <c r="L43" s="823"/>
      <c r="M43" s="452"/>
      <c r="N43" s="452"/>
      <c r="O43" s="452"/>
      <c r="P43" s="219"/>
      <c r="Q43" s="217"/>
      <c r="R43" s="218"/>
      <c r="S43" s="755" t="str">
        <f>INDEX(PT_DIFFERENTIATION_NUM_CS,MATCH(C43,PT_DIFFERENTIATION_CS_ID,0))</f>
        <v>..</v>
      </c>
      <c r="T43" s="188" t="s">
        <v>1681</v>
      </c>
      <c r="U43" s="179"/>
      <c r="V43" s="1331"/>
      <c r="W43" s="1332"/>
      <c r="X43" s="1332"/>
      <c r="Y43" s="1332"/>
      <c r="Z43" s="1332"/>
      <c r="AA43" s="1332"/>
      <c r="AB43" s="1333"/>
      <c r="AC43" s="1331" t="str">
        <f>INDEX(PT_DIFFERENTIATION_CS,MATCH(C43,PT_DIFFERENTIATION_CS_ID,0))</f>
        <v/>
      </c>
      <c r="AD43" s="1332"/>
      <c r="AE43" s="1332"/>
      <c r="AF43" s="1332"/>
      <c r="AG43" s="1332"/>
      <c r="AH43" s="1332"/>
      <c r="AI43" s="1332"/>
      <c r="AJ43" s="1333"/>
      <c r="AK43" s="782" t="s">
        <v>1682</v>
      </c>
      <c r="AM43" s="79"/>
      <c r="AN43" s="79" t="str">
        <f t="shared" si="1"/>
        <v>Наименование централизованной системы холодного водоснабжения</v>
      </c>
      <c r="AO43" s="79"/>
      <c r="AP43" s="79"/>
    </row>
    <row r="44" spans="1:42" ht="23.25" customHeight="1">
      <c r="A44" s="822" t="s">
        <v>233</v>
      </c>
      <c r="B44" s="822" t="s">
        <v>234</v>
      </c>
      <c r="C44" s="822" t="s">
        <v>235</v>
      </c>
      <c r="D44" s="822" t="s">
        <v>1700</v>
      </c>
      <c r="E44" s="1338"/>
      <c r="F44" s="1338"/>
      <c r="G44" s="1338"/>
      <c r="H44" s="1338"/>
      <c r="I44" s="1339" t="str">
        <f>S43&amp;".1"</f>
        <v>...1</v>
      </c>
      <c r="J44" s="822"/>
      <c r="K44" s="822"/>
      <c r="L44" s="823"/>
      <c r="P44" s="1259">
        <v>1</v>
      </c>
      <c r="Q44" s="127"/>
      <c r="R44" s="221"/>
      <c r="S44" s="755" t="str">
        <f>$I44</f>
        <v>...1</v>
      </c>
      <c r="T44" s="172" t="s">
        <v>1683</v>
      </c>
      <c r="U44" s="179"/>
      <c r="V44" s="1429"/>
      <c r="W44" s="1430"/>
      <c r="X44" s="1430"/>
      <c r="Y44" s="1430"/>
      <c r="Z44" s="1430"/>
      <c r="AA44" s="1430"/>
      <c r="AB44" s="1431"/>
      <c r="AC44" s="1432"/>
      <c r="AD44" s="1433"/>
      <c r="AE44" s="1433"/>
      <c r="AF44" s="1433"/>
      <c r="AG44" s="1433"/>
      <c r="AH44" s="1433"/>
      <c r="AI44" s="1433"/>
      <c r="AJ44" s="1434"/>
      <c r="AK44" s="782" t="s">
        <v>1684</v>
      </c>
      <c r="AM44" s="79"/>
      <c r="AN44" s="79" t="str">
        <f t="shared" si="1"/>
        <v>Наименование признака дифференциации</v>
      </c>
      <c r="AO44" s="79"/>
      <c r="AP44" s="79"/>
    </row>
    <row r="45" spans="1:42" ht="23.25" customHeight="1">
      <c r="A45" s="822" t="s">
        <v>233</v>
      </c>
      <c r="B45" s="822" t="s">
        <v>234</v>
      </c>
      <c r="C45" s="822" t="s">
        <v>235</v>
      </c>
      <c r="D45" s="822" t="s">
        <v>1700</v>
      </c>
      <c r="E45" s="1338"/>
      <c r="F45" s="1338"/>
      <c r="G45" s="1338"/>
      <c r="H45" s="1338"/>
      <c r="I45" s="1340"/>
      <c r="J45" s="1339" t="str">
        <f>I44&amp;".1"</f>
        <v>...1.1</v>
      </c>
      <c r="K45" s="822"/>
      <c r="L45" s="823" t="s">
        <v>1471</v>
      </c>
      <c r="P45" s="1259"/>
      <c r="Q45" s="1259">
        <v>1</v>
      </c>
      <c r="R45" s="222"/>
      <c r="S45" s="755" t="str">
        <f>$J45</f>
        <v>...1.1</v>
      </c>
      <c r="T45" s="173" t="s">
        <v>1472</v>
      </c>
      <c r="U45" s="179"/>
      <c r="V45" s="1326"/>
      <c r="W45" s="1327"/>
      <c r="X45" s="1327"/>
      <c r="Y45" s="1327"/>
      <c r="Z45" s="1327"/>
      <c r="AA45" s="1327"/>
      <c r="AB45" s="1328"/>
      <c r="AC45" s="1326"/>
      <c r="AD45" s="1327"/>
      <c r="AE45" s="1327"/>
      <c r="AF45" s="1327"/>
      <c r="AG45" s="1327"/>
      <c r="AH45" s="1327"/>
      <c r="AI45" s="1327"/>
      <c r="AJ45" s="1328"/>
      <c r="AK45" s="809" t="s">
        <v>1685</v>
      </c>
      <c r="AM45" s="79"/>
      <c r="AN45" s="79" t="str">
        <f t="shared" si="1"/>
        <v>Группа потребителей</v>
      </c>
      <c r="AO45" s="79"/>
      <c r="AP45" s="79"/>
    </row>
    <row r="46" spans="1:42" ht="23.25" customHeight="1">
      <c r="A46" s="822" t="s">
        <v>233</v>
      </c>
      <c r="B46" s="822" t="s">
        <v>234</v>
      </c>
      <c r="C46" s="822" t="s">
        <v>235</v>
      </c>
      <c r="D46" s="822" t="s">
        <v>1700</v>
      </c>
      <c r="E46" s="1338"/>
      <c r="F46" s="1338"/>
      <c r="G46" s="1338"/>
      <c r="H46" s="1338"/>
      <c r="I46" s="1340"/>
      <c r="J46" s="1340"/>
      <c r="K46" s="1339" t="str">
        <f>J45&amp;".1"</f>
        <v>...1.1.1</v>
      </c>
      <c r="L46" s="823"/>
      <c r="P46" s="1259"/>
      <c r="Q46" s="1259"/>
      <c r="R46" s="222">
        <v>1</v>
      </c>
      <c r="S46" s="755" t="str">
        <f>$K46</f>
        <v>...1.1.1</v>
      </c>
      <c r="T46" s="853"/>
      <c r="U46" s="179"/>
      <c r="V46" s="1054"/>
      <c r="W46" s="1054"/>
      <c r="X46" s="1056"/>
      <c r="Y46" s="1341"/>
      <c r="Z46" s="1133" t="s">
        <v>67</v>
      </c>
      <c r="AA46" s="1341"/>
      <c r="AB46" s="1133" t="s">
        <v>67</v>
      </c>
      <c r="AC46" s="1054"/>
      <c r="AD46" s="1054"/>
      <c r="AE46" s="1056"/>
      <c r="AF46" s="1341"/>
      <c r="AG46" s="1133" t="s">
        <v>67</v>
      </c>
      <c r="AH46" s="1343"/>
      <c r="AI46" s="1133" t="s">
        <v>67</v>
      </c>
      <c r="AJ46" s="1082"/>
      <c r="AK46" s="143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7" t="e">
        <f ca="1">STRCHECKDATE(V47:AJ47)</f>
        <v>#NAME?</v>
      </c>
      <c r="AM46" s="79"/>
      <c r="AN46" s="79" t="str">
        <f t="shared" si="1"/>
        <v/>
      </c>
      <c r="AO46" s="79"/>
      <c r="AP46" s="79"/>
    </row>
    <row r="47" spans="1:42" ht="0" hidden="1" customHeight="1">
      <c r="A47" s="822" t="s">
        <v>233</v>
      </c>
      <c r="B47" s="822" t="s">
        <v>234</v>
      </c>
      <c r="C47" s="822" t="s">
        <v>235</v>
      </c>
      <c r="D47" s="822" t="s">
        <v>1700</v>
      </c>
      <c r="E47" s="1338"/>
      <c r="F47" s="1338"/>
      <c r="G47" s="1338"/>
      <c r="H47" s="1338"/>
      <c r="I47" s="1340"/>
      <c r="J47" s="1340"/>
      <c r="K47" s="1339"/>
      <c r="L47" s="823"/>
      <c r="P47" s="1259"/>
      <c r="Q47" s="1259"/>
      <c r="R47" s="222"/>
      <c r="S47" s="74"/>
      <c r="T47" s="179"/>
      <c r="U47" s="179"/>
      <c r="V47" s="1055"/>
      <c r="W47" s="1055"/>
      <c r="X47" s="1057" t="str">
        <f>Y46&amp;"-"&amp;AA46</f>
        <v>-</v>
      </c>
      <c r="Y47" s="1342"/>
      <c r="Z47" s="1133"/>
      <c r="AA47" s="1342"/>
      <c r="AB47" s="1133"/>
      <c r="AC47" s="1055"/>
      <c r="AD47" s="1055"/>
      <c r="AE47" s="1057" t="str">
        <f>AF46&amp;"-"&amp;AH46</f>
        <v>-</v>
      </c>
      <c r="AF47" s="1342"/>
      <c r="AG47" s="1133"/>
      <c r="AH47" s="1344"/>
      <c r="AI47" s="1133"/>
      <c r="AJ47" s="1083"/>
      <c r="AK47" s="1435"/>
      <c r="AM47" s="79"/>
      <c r="AN47" s="79" t="str">
        <f t="shared" si="1"/>
        <v/>
      </c>
      <c r="AO47" s="79"/>
      <c r="AP47" s="79"/>
    </row>
    <row r="48" spans="1:42" ht="21" customHeight="1">
      <c r="A48" s="822" t="s">
        <v>233</v>
      </c>
      <c r="B48" s="822" t="s">
        <v>234</v>
      </c>
      <c r="C48" s="822" t="s">
        <v>235</v>
      </c>
      <c r="D48" s="822" t="s">
        <v>1700</v>
      </c>
      <c r="E48" s="1338"/>
      <c r="F48" s="1338"/>
      <c r="G48" s="1338"/>
      <c r="H48" s="1338"/>
      <c r="I48" s="1340"/>
      <c r="J48" s="1339"/>
      <c r="K48" s="822"/>
      <c r="L48" s="823"/>
      <c r="P48" s="1259"/>
      <c r="Q48" s="1259"/>
      <c r="R48" s="221"/>
      <c r="S48" s="796"/>
      <c r="T48" s="174" t="s">
        <v>1686</v>
      </c>
      <c r="U48" s="228"/>
      <c r="V48" s="228"/>
      <c r="W48" s="228"/>
      <c r="X48" s="228"/>
      <c r="Y48" s="228"/>
      <c r="Z48" s="228"/>
      <c r="AA48" s="228"/>
      <c r="AB48" s="228"/>
      <c r="AC48" s="228"/>
      <c r="AD48" s="228"/>
      <c r="AE48" s="228"/>
      <c r="AF48" s="228"/>
      <c r="AG48" s="228"/>
      <c r="AH48" s="228"/>
      <c r="AI48" s="228"/>
      <c r="AJ48" s="228"/>
      <c r="AK48" s="782" t="s">
        <v>1687</v>
      </c>
      <c r="AM48" s="79"/>
      <c r="AN48" s="79" t="str">
        <f t="shared" si="1"/>
        <v>Добавить значение признака дифференциации</v>
      </c>
      <c r="AO48" s="79"/>
      <c r="AP48" s="79"/>
    </row>
    <row r="49" spans="1:42" ht="21" customHeight="1">
      <c r="A49" s="822" t="s">
        <v>233</v>
      </c>
      <c r="B49" s="822" t="s">
        <v>234</v>
      </c>
      <c r="C49" s="822" t="s">
        <v>235</v>
      </c>
      <c r="D49" s="822" t="s">
        <v>1700</v>
      </c>
      <c r="E49" s="1338"/>
      <c r="F49" s="1338"/>
      <c r="G49" s="1338"/>
      <c r="H49" s="1338"/>
      <c r="I49" s="1339"/>
      <c r="J49" s="822"/>
      <c r="K49" s="822"/>
      <c r="L49" s="823"/>
      <c r="P49" s="1259"/>
      <c r="Q49" s="127"/>
      <c r="R49" s="221"/>
      <c r="S49" s="796"/>
      <c r="T49" s="226" t="s">
        <v>1477</v>
      </c>
      <c r="U49" s="228"/>
      <c r="V49" s="228"/>
      <c r="W49" s="228"/>
      <c r="X49" s="228"/>
      <c r="Y49" s="228"/>
      <c r="Z49" s="228"/>
      <c r="AA49" s="228"/>
      <c r="AB49" s="205"/>
      <c r="AC49" s="228"/>
      <c r="AD49" s="228"/>
      <c r="AE49" s="228"/>
      <c r="AF49" s="228"/>
      <c r="AG49" s="228"/>
      <c r="AH49" s="228"/>
      <c r="AI49" s="205"/>
      <c r="AJ49" s="228"/>
      <c r="AK49" s="854"/>
      <c r="AM49" s="79"/>
      <c r="AN49" s="79" t="str">
        <f t="shared" si="1"/>
        <v>Добавить группу потребителей</v>
      </c>
      <c r="AO49" s="79"/>
      <c r="AP49" s="79"/>
    </row>
    <row r="50" spans="1:42" ht="21" customHeight="1">
      <c r="A50" s="822" t="s">
        <v>233</v>
      </c>
      <c r="B50" s="822" t="s">
        <v>234</v>
      </c>
      <c r="C50" s="822" t="s">
        <v>235</v>
      </c>
      <c r="D50" s="822" t="s">
        <v>1700</v>
      </c>
      <c r="E50" s="1338"/>
      <c r="F50" s="1338"/>
      <c r="G50" s="1338"/>
      <c r="H50" s="1337"/>
      <c r="I50" s="822"/>
      <c r="J50" s="822"/>
      <c r="K50" s="822"/>
      <c r="L50" s="823"/>
      <c r="M50" s="452"/>
      <c r="N50" s="452"/>
      <c r="O50" s="72"/>
      <c r="P50" s="43"/>
      <c r="Q50" s="231"/>
      <c r="R50" s="220"/>
      <c r="S50" s="796"/>
      <c r="T50" s="113" t="s">
        <v>1688</v>
      </c>
      <c r="U50" s="228"/>
      <c r="V50" s="228"/>
      <c r="W50" s="228"/>
      <c r="X50" s="228"/>
      <c r="Y50" s="228"/>
      <c r="Z50" s="228"/>
      <c r="AA50" s="228"/>
      <c r="AB50" s="205"/>
      <c r="AC50" s="228"/>
      <c r="AD50" s="228"/>
      <c r="AE50" s="228"/>
      <c r="AF50" s="228"/>
      <c r="AG50" s="228"/>
      <c r="AH50" s="228"/>
      <c r="AI50" s="205"/>
      <c r="AJ50" s="228"/>
      <c r="AK50" s="182"/>
      <c r="AM50" s="79"/>
      <c r="AN50" s="79" t="str">
        <f t="shared" si="1"/>
        <v>Добавить наименование признака дифференциации</v>
      </c>
      <c r="AO50" s="79"/>
      <c r="AP50" s="79"/>
    </row>
    <row r="51" spans="1:42" s="77" customFormat="1" ht="0.75" customHeight="1">
      <c r="A51" s="150" t="s">
        <v>233</v>
      </c>
      <c r="B51" s="150" t="s">
        <v>234</v>
      </c>
      <c r="C51" s="150"/>
      <c r="D51" s="150"/>
      <c r="E51" s="1338"/>
      <c r="F51" s="1337"/>
      <c r="G51" s="150"/>
      <c r="H51" s="150"/>
      <c r="I51" s="150"/>
      <c r="J51" s="150"/>
      <c r="K51" s="150"/>
      <c r="L51" s="373"/>
      <c r="M51" s="815"/>
      <c r="N51" s="815"/>
      <c r="P51" s="111"/>
      <c r="Q51" s="811"/>
      <c r="R51" s="111"/>
      <c r="S51" s="816"/>
      <c r="T51" s="818" t="s">
        <v>1438</v>
      </c>
      <c r="U51" s="338"/>
      <c r="V51" s="338"/>
      <c r="W51" s="338"/>
      <c r="X51" s="338"/>
      <c r="Y51" s="338"/>
      <c r="Z51" s="338"/>
      <c r="AA51" s="338"/>
      <c r="AB51" s="338"/>
      <c r="AC51" s="338"/>
      <c r="AD51" s="338"/>
      <c r="AE51" s="338"/>
      <c r="AF51" s="338"/>
      <c r="AG51" s="338"/>
      <c r="AH51" s="338"/>
      <c r="AI51" s="338"/>
      <c r="AJ51" s="338"/>
      <c r="AK51" s="338"/>
      <c r="AM51" s="79"/>
      <c r="AN51" s="79" t="str">
        <f t="shared" si="1"/>
        <v>Добавить централизованную систему для дифференциации</v>
      </c>
      <c r="AO51" s="79"/>
      <c r="AP51" s="79"/>
    </row>
    <row r="52" spans="1:42" s="77" customFormat="1" ht="0.75" customHeight="1">
      <c r="A52" s="150" t="s">
        <v>233</v>
      </c>
      <c r="B52" s="150"/>
      <c r="C52" s="150"/>
      <c r="D52" s="150"/>
      <c r="E52" s="1337"/>
      <c r="F52" s="150"/>
      <c r="G52" s="150"/>
      <c r="H52" s="150"/>
      <c r="I52" s="150"/>
      <c r="J52" s="150"/>
      <c r="K52" s="150"/>
      <c r="L52" s="373"/>
      <c r="M52" s="815"/>
      <c r="N52" s="815"/>
      <c r="P52" s="111"/>
      <c r="Q52" s="811"/>
      <c r="R52" s="111"/>
      <c r="S52" s="816"/>
      <c r="T52" s="818" t="s">
        <v>1439</v>
      </c>
      <c r="U52" s="338"/>
      <c r="V52" s="338"/>
      <c r="W52" s="338"/>
      <c r="X52" s="338"/>
      <c r="Y52" s="338"/>
      <c r="Z52" s="338"/>
      <c r="AA52" s="338"/>
      <c r="AB52" s="338"/>
      <c r="AC52" s="338"/>
      <c r="AD52" s="338"/>
      <c r="AE52" s="338"/>
      <c r="AF52" s="338"/>
      <c r="AG52" s="338"/>
      <c r="AH52" s="338"/>
      <c r="AI52" s="338"/>
      <c r="AJ52" s="338"/>
      <c r="AK52" s="338"/>
      <c r="AM52" s="79"/>
      <c r="AN52" s="79" t="str">
        <f t="shared" si="1"/>
        <v>Добавить территорию для дифференциации</v>
      </c>
      <c r="AO52" s="79"/>
      <c r="AP52" s="79"/>
    </row>
    <row r="53" spans="1:42" s="77" customFormat="1" ht="0.75" customHeight="1">
      <c r="A53" s="150"/>
      <c r="B53" s="150"/>
      <c r="C53" s="150"/>
      <c r="D53" s="150"/>
      <c r="E53" s="150"/>
      <c r="F53" s="150"/>
      <c r="G53" s="150"/>
      <c r="H53" s="150"/>
      <c r="I53" s="150"/>
      <c r="J53" s="150"/>
      <c r="K53" s="150"/>
      <c r="L53" s="373"/>
      <c r="M53" s="815"/>
      <c r="N53" s="815"/>
      <c r="P53" s="111"/>
      <c r="Q53" s="811"/>
      <c r="R53" s="111"/>
      <c r="S53" s="816"/>
      <c r="T53" s="818" t="s">
        <v>1440</v>
      </c>
      <c r="U53" s="338"/>
      <c r="V53" s="338"/>
      <c r="W53" s="338"/>
      <c r="X53" s="338"/>
      <c r="Y53" s="338"/>
      <c r="Z53" s="338"/>
      <c r="AA53" s="338"/>
      <c r="AB53" s="338"/>
      <c r="AC53" s="338"/>
      <c r="AD53" s="338"/>
      <c r="AE53" s="338"/>
      <c r="AF53" s="338"/>
      <c r="AG53" s="338"/>
      <c r="AH53" s="338"/>
      <c r="AI53" s="338"/>
      <c r="AJ53" s="338"/>
      <c r="AK53" s="338"/>
      <c r="AM53" s="79"/>
      <c r="AN53" s="79" t="str">
        <f t="shared" si="1"/>
        <v>Добавить наименование тарифа</v>
      </c>
      <c r="AO53" s="79"/>
      <c r="AP53" s="79"/>
    </row>
    <row r="54" spans="1:42" ht="11.25" hidden="1" customHeight="1">
      <c r="M54" s="72"/>
      <c r="N54" s="72"/>
      <c r="O54" s="72"/>
      <c r="P54" s="24"/>
      <c r="Q54" s="24"/>
      <c r="R54" s="24"/>
      <c r="S54" s="24"/>
      <c r="AL54" s="24"/>
      <c r="AM54" s="24"/>
      <c r="AN54" s="24"/>
      <c r="AO54" s="24"/>
      <c r="AP54" s="24"/>
    </row>
    <row r="55" spans="1:42" ht="14.25" hidden="1" customHeight="1">
      <c r="O55" s="72"/>
      <c r="S55" s="210" t="s">
        <v>1510</v>
      </c>
      <c r="T55" s="1336" t="s">
        <v>1696</v>
      </c>
      <c r="U55" s="1336"/>
      <c r="V55" s="1336"/>
      <c r="W55" s="1336"/>
      <c r="X55" s="1336"/>
      <c r="Y55" s="1336"/>
      <c r="Z55" s="1336"/>
      <c r="AA55" s="1336"/>
      <c r="AB55" s="1336"/>
      <c r="AC55" s="1336"/>
      <c r="AD55" s="1336"/>
      <c r="AE55" s="1336"/>
      <c r="AF55" s="1336"/>
      <c r="AG55" s="1336"/>
      <c r="AH55" s="1336"/>
      <c r="AI55" s="1336"/>
      <c r="AJ55" s="1336"/>
      <c r="AK55" s="1336"/>
    </row>
    <row r="56" spans="1:42" ht="14.25" hidden="1" customHeight="1">
      <c r="O56" s="72"/>
    </row>
    <row r="57" spans="1:42" ht="14.25" hidden="1" customHeight="1">
      <c r="O57" s="72"/>
      <c r="S57" s="210" t="s">
        <v>1510</v>
      </c>
      <c r="T57" s="1336" t="s">
        <v>1697</v>
      </c>
      <c r="U57" s="1336"/>
      <c r="V57" s="1336"/>
      <c r="W57" s="1336"/>
      <c r="X57" s="1336"/>
      <c r="Y57" s="1336"/>
      <c r="Z57" s="1336"/>
      <c r="AA57" s="1336"/>
      <c r="AB57" s="1336"/>
      <c r="AC57" s="1336"/>
      <c r="AD57" s="1336"/>
      <c r="AE57" s="1336"/>
      <c r="AF57" s="1336"/>
      <c r="AG57" s="1336"/>
      <c r="AH57" s="1336"/>
      <c r="AI57" s="1336"/>
      <c r="AJ57" s="1336"/>
      <c r="AK57" s="1336"/>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25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25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25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25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25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25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25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25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36716A-66B1-B89A-7AD1-C3D2E3C7F588}">
  <sheetPr>
    <tabColor theme="6" tint="0.39997558519241921"/>
  </sheetPr>
  <dimension ref="A1:BH68"/>
  <sheetViews>
    <sheetView showGridLines="0" topLeftCell="R27" zoomScale="90" workbookViewId="0"/>
  </sheetViews>
  <sheetFormatPr defaultColWidth="10.5703125" defaultRowHeight="14.25" customHeight="1"/>
  <cols>
    <col min="1" max="1" width="11.5703125" style="72" hidden="1" customWidth="1"/>
    <col min="2" max="2" width="11" style="72" hidden="1" customWidth="1"/>
    <col min="3" max="3" width="10.5703125" style="72" hidden="1"/>
    <col min="4" max="4" width="12.85546875" style="72" hidden="1" customWidth="1"/>
    <col min="5" max="5" width="10" style="72" hidden="1" customWidth="1"/>
    <col min="6" max="6" width="8.7109375" style="72" hidden="1" customWidth="1"/>
    <col min="7" max="7" width="7.5703125" style="72" hidden="1" customWidth="1"/>
    <col min="8" max="8" width="11.42578125" style="72" hidden="1" customWidth="1"/>
    <col min="9" max="9" width="12" style="72" hidden="1" customWidth="1"/>
    <col min="10" max="10" width="9.85546875" style="72" hidden="1" customWidth="1"/>
    <col min="11" max="11" width="11.42578125" style="72" hidden="1" customWidth="1"/>
    <col min="12" max="12" width="19.140625" style="388" hidden="1" customWidth="1"/>
    <col min="13" max="14" width="12.28515625" style="541" hidden="1" customWidth="1"/>
    <col min="15" max="15" width="23.42578125" style="541" hidden="1" customWidth="1"/>
    <col min="16" max="16" width="3.7109375" style="541" hidden="1" customWidth="1"/>
    <col min="17" max="17" width="3.7109375" style="825" hidden="1" customWidth="1"/>
    <col min="18" max="18" width="3.7109375" style="37" customWidth="1"/>
    <col min="19" max="19" width="12.7109375" style="368" customWidth="1"/>
    <col min="20" max="20" width="32" style="24" customWidth="1"/>
    <col min="21" max="21" width="0.140625" style="24" customWidth="1"/>
    <col min="22" max="25" width="21.7109375" style="24" hidden="1" customWidth="1"/>
    <col min="26" max="26" width="11.7109375" style="24" hidden="1" customWidth="1"/>
    <col min="27" max="27" width="3.7109375" style="24" hidden="1" customWidth="1"/>
    <col min="28" max="28" width="11.7109375" style="24" hidden="1" customWidth="1"/>
    <col min="29" max="29" width="8.5703125" style="24" hidden="1" customWidth="1"/>
    <col min="30" max="32" width="3.7109375" style="24" customWidth="1"/>
    <col min="33" max="33" width="24.7109375" style="24" customWidth="1"/>
    <col min="34" max="36" width="3.7109375" style="24" customWidth="1"/>
    <col min="37" max="37" width="24.7109375" style="24" customWidth="1"/>
    <col min="38" max="40" width="3.7109375" style="24" customWidth="1"/>
    <col min="41" max="41" width="18.85546875" style="24" customWidth="1"/>
    <col min="42" max="44" width="3.7109375" style="24" customWidth="1"/>
    <col min="45" max="45" width="18.85546875" style="24" customWidth="1"/>
    <col min="46" max="49" width="21.7109375" style="24" customWidth="1"/>
    <col min="50" max="50" width="11.7109375" style="24" customWidth="1"/>
    <col min="51" max="51" width="3.7109375" style="24" customWidth="1"/>
    <col min="52" max="52" width="11.7109375" style="24" customWidth="1"/>
    <col min="53" max="53" width="8.5703125" style="24" hidden="1" customWidth="1"/>
    <col min="54" max="54" width="4.7109375" style="24" customWidth="1"/>
    <col min="55" max="55" width="115.7109375" style="24" customWidth="1"/>
    <col min="56" max="57" width="10.5703125" style="77"/>
    <col min="58" max="58" width="11.140625" style="77" customWidth="1"/>
    <col min="59" max="60" width="10.5703125" style="77"/>
  </cols>
  <sheetData>
    <row r="1" spans="1:60" ht="14.25" hidden="1" customHeight="1"/>
    <row r="2" spans="1:60" ht="21" hidden="1" customHeight="1">
      <c r="A2" s="822"/>
      <c r="B2" s="822"/>
      <c r="C2" s="822"/>
      <c r="D2" s="822"/>
      <c r="E2" s="1337">
        <v>1</v>
      </c>
      <c r="F2" s="822"/>
      <c r="G2" s="822"/>
      <c r="H2" s="822"/>
      <c r="I2" s="822"/>
      <c r="J2" s="822"/>
      <c r="K2" s="822"/>
      <c r="L2" s="823"/>
      <c r="M2" s="452"/>
      <c r="N2" s="452"/>
      <c r="O2" s="452"/>
      <c r="Q2" s="71"/>
      <c r="R2" s="220"/>
      <c r="S2" s="755" t="e">
        <f>INDEX(PT_DIFFERENTIATION_NUM_NTAR,MATCH(A2,PT_DIFFERENTIATION_NTAR_ID,0))</f>
        <v>#N/A</v>
      </c>
      <c r="T2" s="76" t="s">
        <v>124</v>
      </c>
      <c r="U2" s="179"/>
      <c r="V2" s="1332"/>
      <c r="W2" s="1332"/>
      <c r="X2" s="1332"/>
      <c r="Y2" s="1332"/>
      <c r="Z2" s="1332"/>
      <c r="AA2" s="1332"/>
      <c r="AB2" s="1332"/>
      <c r="AC2" s="1333"/>
      <c r="AD2" s="1331" t="e">
        <f>INDEX(PT_DIFFERENTIATION_NTAR,MATCH(A2,PT_DIFFERENTIATION_NTAR_ID,0))</f>
        <v>#N/A</v>
      </c>
      <c r="AE2" s="1332"/>
      <c r="AF2" s="1332"/>
      <c r="AG2" s="1332"/>
      <c r="AH2" s="1332"/>
      <c r="AI2" s="1332"/>
      <c r="AJ2" s="1332"/>
      <c r="AK2" s="1332"/>
      <c r="AL2" s="1332"/>
      <c r="AM2" s="1332"/>
      <c r="AN2" s="1332"/>
      <c r="AO2" s="1332"/>
      <c r="AP2" s="1332"/>
      <c r="AQ2" s="1332"/>
      <c r="AR2" s="1332"/>
      <c r="AS2" s="1332"/>
      <c r="AT2" s="1332"/>
      <c r="AU2" s="1332"/>
      <c r="AV2" s="1332"/>
      <c r="AW2" s="1332"/>
      <c r="AX2" s="1332"/>
      <c r="AY2" s="1332"/>
      <c r="AZ2" s="1332"/>
      <c r="BA2" s="1332"/>
      <c r="BB2" s="1333"/>
      <c r="BC2" s="7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79"/>
      <c r="BF2" s="79" t="str">
        <f t="shared" ref="BF2:BF8" si="0">IF(T2="","",T2)</f>
        <v>Наименование тарифа</v>
      </c>
      <c r="BG2" s="79"/>
      <c r="BH2" s="79"/>
    </row>
    <row r="3" spans="1:60" ht="21" hidden="1" customHeight="1">
      <c r="A3" s="822"/>
      <c r="B3" s="822"/>
      <c r="C3" s="822"/>
      <c r="D3" s="822"/>
      <c r="E3" s="1338"/>
      <c r="F3" s="1337">
        <v>1</v>
      </c>
      <c r="G3" s="822"/>
      <c r="H3" s="822"/>
      <c r="I3" s="822"/>
      <c r="J3" s="822"/>
      <c r="K3" s="822"/>
      <c r="L3" s="823"/>
      <c r="M3" s="452"/>
      <c r="N3" s="452"/>
      <c r="O3" s="452"/>
      <c r="P3" s="388"/>
      <c r="Q3" s="845"/>
      <c r="R3" s="218"/>
      <c r="S3" s="755" t="e">
        <f>INDEX(PT_DIFFERENTIATION_NUM_TER,MATCH(B3,PT_DIFFERENTIATION_TER_ID,0))</f>
        <v>#N/A</v>
      </c>
      <c r="T3" s="187" t="s">
        <v>1462</v>
      </c>
      <c r="U3" s="179"/>
      <c r="V3" s="1332"/>
      <c r="W3" s="1332"/>
      <c r="X3" s="1332"/>
      <c r="Y3" s="1332"/>
      <c r="Z3" s="1332"/>
      <c r="AA3" s="1332"/>
      <c r="AB3" s="1332"/>
      <c r="AC3" s="1333"/>
      <c r="AD3" s="1331" t="e">
        <f>INDEX(PT_DIFFERENTIATION_TER,MATCH(B3,PT_DIFFERENTIATION_TER_ID,0))</f>
        <v>#N/A</v>
      </c>
      <c r="AE3" s="1332"/>
      <c r="AF3" s="1332"/>
      <c r="AG3" s="1332"/>
      <c r="AH3" s="1332"/>
      <c r="AI3" s="1332"/>
      <c r="AJ3" s="1332"/>
      <c r="AK3" s="1332"/>
      <c r="AL3" s="1332"/>
      <c r="AM3" s="1332"/>
      <c r="AN3" s="1332"/>
      <c r="AO3" s="1332"/>
      <c r="AP3" s="1332"/>
      <c r="AQ3" s="1332"/>
      <c r="AR3" s="1332"/>
      <c r="AS3" s="1332"/>
      <c r="AT3" s="1332"/>
      <c r="AU3" s="1332"/>
      <c r="AV3" s="1332"/>
      <c r="AW3" s="1332"/>
      <c r="AX3" s="1332"/>
      <c r="AY3" s="1332"/>
      <c r="AZ3" s="1332"/>
      <c r="BA3" s="1332"/>
      <c r="BB3" s="1333"/>
      <c r="BC3" s="782" t="s">
        <v>1463</v>
      </c>
      <c r="BE3" s="79"/>
      <c r="BF3" s="79" t="str">
        <f t="shared" si="0"/>
        <v>Территория действия тарифа</v>
      </c>
      <c r="BG3" s="79"/>
      <c r="BH3" s="79"/>
    </row>
    <row r="4" spans="1:60" ht="42" hidden="1" customHeight="1">
      <c r="A4" s="822"/>
      <c r="B4" s="822"/>
      <c r="C4" s="822"/>
      <c r="D4" s="822"/>
      <c r="E4" s="1338"/>
      <c r="F4" s="1338"/>
      <c r="G4" s="1337">
        <v>1</v>
      </c>
      <c r="H4" s="822"/>
      <c r="I4" s="822"/>
      <c r="J4" s="822"/>
      <c r="K4" s="822"/>
      <c r="L4" s="823"/>
      <c r="M4" s="452"/>
      <c r="N4" s="452"/>
      <c r="O4" s="452"/>
      <c r="P4" s="136"/>
      <c r="Q4" s="845"/>
      <c r="R4" s="218"/>
      <c r="S4" s="755" t="e">
        <f>INDEX(PT_DIFFERENTIATION_NUM_CS,MATCH(C4,PT_DIFFERENTIATION_CS_ID,0))</f>
        <v>#N/A</v>
      </c>
      <c r="T4" s="188" t="s">
        <v>1681</v>
      </c>
      <c r="U4" s="179"/>
      <c r="V4" s="1332"/>
      <c r="W4" s="1332"/>
      <c r="X4" s="1332"/>
      <c r="Y4" s="1332"/>
      <c r="Z4" s="1332"/>
      <c r="AA4" s="1332"/>
      <c r="AB4" s="1332"/>
      <c r="AC4" s="1333"/>
      <c r="AD4" s="1331" t="e">
        <f>INDEX(PT_DIFFERENTIATION_CS,MATCH(C4,PT_DIFFERENTIATION_CS_ID,0))</f>
        <v>#N/A</v>
      </c>
      <c r="AE4" s="1332"/>
      <c r="AF4" s="1332"/>
      <c r="AG4" s="1332"/>
      <c r="AH4" s="1332"/>
      <c r="AI4" s="1332"/>
      <c r="AJ4" s="1332"/>
      <c r="AK4" s="1332"/>
      <c r="AL4" s="1332"/>
      <c r="AM4" s="1332"/>
      <c r="AN4" s="1332"/>
      <c r="AO4" s="1332"/>
      <c r="AP4" s="1332"/>
      <c r="AQ4" s="1332"/>
      <c r="AR4" s="1332"/>
      <c r="AS4" s="1332"/>
      <c r="AT4" s="1332"/>
      <c r="AU4" s="1332"/>
      <c r="AV4" s="1332"/>
      <c r="AW4" s="1332"/>
      <c r="AX4" s="1332"/>
      <c r="AY4" s="1332"/>
      <c r="AZ4" s="1332"/>
      <c r="BA4" s="1332"/>
      <c r="BB4" s="1333"/>
      <c r="BC4" s="782" t="s">
        <v>1682</v>
      </c>
      <c r="BE4" s="79"/>
      <c r="BF4" s="79" t="str">
        <f t="shared" si="0"/>
        <v>Наименование централизованной системы холодного водоснабжения</v>
      </c>
      <c r="BG4" s="79"/>
      <c r="BH4" s="79"/>
    </row>
    <row r="5" spans="1:60" s="77" customFormat="1" ht="14.25" hidden="1" customHeight="1">
      <c r="A5" s="150"/>
      <c r="B5" s="150"/>
      <c r="C5" s="150"/>
      <c r="D5" s="150"/>
      <c r="E5" s="1338"/>
      <c r="F5" s="1338"/>
      <c r="G5" s="1338"/>
      <c r="H5" s="1337">
        <v>1</v>
      </c>
      <c r="I5" s="150"/>
      <c r="J5" s="150"/>
      <c r="K5" s="150"/>
      <c r="L5" s="373"/>
      <c r="M5" s="318"/>
      <c r="N5" s="318"/>
      <c r="O5" s="318"/>
      <c r="P5" s="858"/>
      <c r="Q5" s="859"/>
      <c r="R5" s="222"/>
      <c r="S5" s="389"/>
      <c r="T5" s="860"/>
      <c r="U5" s="832"/>
      <c r="V5" s="1366"/>
      <c r="W5" s="1366"/>
      <c r="X5" s="1366"/>
      <c r="Y5" s="1366"/>
      <c r="Z5" s="1366"/>
      <c r="AA5" s="1366"/>
      <c r="AB5" s="1366"/>
      <c r="AC5" s="1367"/>
      <c r="AD5" s="1365"/>
      <c r="AE5" s="1366"/>
      <c r="AF5" s="1366"/>
      <c r="AG5" s="1366"/>
      <c r="AH5" s="1366"/>
      <c r="AI5" s="1366"/>
      <c r="AJ5" s="1366"/>
      <c r="AK5" s="1366"/>
      <c r="AL5" s="1366"/>
      <c r="AM5" s="1366"/>
      <c r="AN5" s="1366"/>
      <c r="AO5" s="1366"/>
      <c r="AP5" s="1366"/>
      <c r="AQ5" s="1366"/>
      <c r="AR5" s="1366"/>
      <c r="AS5" s="1366"/>
      <c r="AT5" s="1366"/>
      <c r="AU5" s="1366"/>
      <c r="AV5" s="1366"/>
      <c r="AW5" s="1366"/>
      <c r="AX5" s="1366"/>
      <c r="AY5" s="1366"/>
      <c r="AZ5" s="1366"/>
      <c r="BA5" s="1366"/>
      <c r="BB5" s="1367"/>
      <c r="BC5" s="833" t="s">
        <v>1467</v>
      </c>
      <c r="BE5" s="79"/>
      <c r="BF5" s="79" t="str">
        <f t="shared" si="0"/>
        <v/>
      </c>
      <c r="BG5" s="79"/>
      <c r="BH5" s="79"/>
    </row>
    <row r="6" spans="1:60" s="77" customFormat="1" ht="14.25" hidden="1" customHeight="1">
      <c r="A6" s="150"/>
      <c r="B6" s="150"/>
      <c r="C6" s="150"/>
      <c r="D6" s="150"/>
      <c r="E6" s="1338"/>
      <c r="F6" s="1338"/>
      <c r="G6" s="1338"/>
      <c r="H6" s="1338"/>
      <c r="I6" s="1339" t="str">
        <f>S5&amp;".1"</f>
        <v>.1</v>
      </c>
      <c r="J6" s="150"/>
      <c r="K6" s="150"/>
      <c r="L6" s="373" t="s">
        <v>1468</v>
      </c>
      <c r="M6" s="235"/>
      <c r="N6" s="235"/>
      <c r="O6" s="235"/>
      <c r="P6" s="1259">
        <v>1</v>
      </c>
      <c r="Q6" s="127"/>
      <c r="R6" s="221"/>
      <c r="S6" s="389"/>
      <c r="T6" s="831"/>
      <c r="U6" s="832"/>
      <c r="V6" s="1366"/>
      <c r="W6" s="1366"/>
      <c r="X6" s="1366"/>
      <c r="Y6" s="1366"/>
      <c r="Z6" s="1366"/>
      <c r="AA6" s="1366"/>
      <c r="AB6" s="1366"/>
      <c r="AC6" s="1367"/>
      <c r="AD6" s="1365"/>
      <c r="AE6" s="1366"/>
      <c r="AF6" s="1366"/>
      <c r="AG6" s="1366"/>
      <c r="AH6" s="1366"/>
      <c r="AI6" s="1366"/>
      <c r="AJ6" s="1366"/>
      <c r="AK6" s="1366"/>
      <c r="AL6" s="1366"/>
      <c r="AM6" s="1366"/>
      <c r="AN6" s="1366"/>
      <c r="AO6" s="1366"/>
      <c r="AP6" s="1366"/>
      <c r="AQ6" s="1366"/>
      <c r="AR6" s="1366"/>
      <c r="AS6" s="1366"/>
      <c r="AT6" s="1366"/>
      <c r="AU6" s="1366"/>
      <c r="AV6" s="1366"/>
      <c r="AW6" s="1366"/>
      <c r="AX6" s="1366"/>
      <c r="AY6" s="1366"/>
      <c r="AZ6" s="1366"/>
      <c r="BA6" s="1366"/>
      <c r="BB6" s="1367"/>
      <c r="BC6" s="833"/>
      <c r="BE6" s="79"/>
      <c r="BF6" s="79" t="str">
        <f t="shared" si="0"/>
        <v/>
      </c>
      <c r="BG6" s="79"/>
      <c r="BH6" s="79"/>
    </row>
    <row r="7" spans="1:60" s="77" customFormat="1" ht="14.25" hidden="1" customHeight="1">
      <c r="A7" s="150"/>
      <c r="B7" s="150"/>
      <c r="C7" s="150"/>
      <c r="D7" s="150"/>
      <c r="E7" s="1338"/>
      <c r="F7" s="1338"/>
      <c r="G7" s="1338"/>
      <c r="H7" s="1338"/>
      <c r="I7" s="1340"/>
      <c r="J7" s="1339" t="str">
        <f>S5&amp;".1"</f>
        <v>.1</v>
      </c>
      <c r="K7" s="150"/>
      <c r="L7" s="373"/>
      <c r="M7" s="235"/>
      <c r="N7" s="235"/>
      <c r="O7" s="235"/>
      <c r="P7" s="1259"/>
      <c r="Q7" s="1259">
        <v>1</v>
      </c>
      <c r="R7" s="222"/>
      <c r="S7" s="389"/>
      <c r="T7" s="840"/>
      <c r="U7" s="832"/>
      <c r="V7" s="1366"/>
      <c r="W7" s="1366"/>
      <c r="X7" s="1366"/>
      <c r="Y7" s="1366"/>
      <c r="Z7" s="1366"/>
      <c r="AA7" s="1366"/>
      <c r="AB7" s="1366"/>
      <c r="AC7" s="1367"/>
      <c r="AD7" s="1365"/>
      <c r="AE7" s="1366"/>
      <c r="AF7" s="1366"/>
      <c r="AG7" s="1366"/>
      <c r="AH7" s="1366"/>
      <c r="AI7" s="1366"/>
      <c r="AJ7" s="1366"/>
      <c r="AK7" s="1366"/>
      <c r="AL7" s="1366"/>
      <c r="AM7" s="1366"/>
      <c r="AN7" s="1366"/>
      <c r="AO7" s="1366"/>
      <c r="AP7" s="1366"/>
      <c r="AQ7" s="1366"/>
      <c r="AR7" s="1366"/>
      <c r="AS7" s="1366"/>
      <c r="AT7" s="1366"/>
      <c r="AU7" s="1366"/>
      <c r="AV7" s="1366"/>
      <c r="AW7" s="1366"/>
      <c r="AX7" s="1366"/>
      <c r="AY7" s="1366"/>
      <c r="AZ7" s="1366"/>
      <c r="BA7" s="1366"/>
      <c r="BB7" s="1367"/>
      <c r="BC7" s="833"/>
      <c r="BE7" s="79"/>
      <c r="BF7" s="79" t="str">
        <f t="shared" si="0"/>
        <v/>
      </c>
      <c r="BG7" s="79"/>
      <c r="BH7" s="79"/>
    </row>
    <row r="8" spans="1:60" ht="11.25" hidden="1" customHeight="1">
      <c r="A8" s="822"/>
      <c r="B8" s="822"/>
      <c r="C8" s="822"/>
      <c r="D8" s="822"/>
      <c r="E8" s="1338"/>
      <c r="F8" s="1338"/>
      <c r="G8" s="1338"/>
      <c r="H8" s="1338"/>
      <c r="I8" s="1340"/>
      <c r="J8" s="1340"/>
      <c r="K8" s="1339" t="e">
        <f>S4&amp;".1"</f>
        <v>#N/A</v>
      </c>
      <c r="L8" s="823"/>
      <c r="P8" s="1259"/>
      <c r="Q8" s="1259"/>
      <c r="R8" s="1391">
        <v>1</v>
      </c>
      <c r="S8" s="1388" t="e">
        <f>$K8</f>
        <v>#N/A</v>
      </c>
      <c r="T8" s="1438"/>
      <c r="U8" s="179"/>
      <c r="V8" s="1054"/>
      <c r="W8" s="1056"/>
      <c r="X8" s="1054"/>
      <c r="Y8" s="1056"/>
      <c r="Z8" s="990"/>
      <c r="AA8" s="322" t="s">
        <v>67</v>
      </c>
      <c r="AB8" s="990"/>
      <c r="AC8" s="322" t="s">
        <v>67</v>
      </c>
      <c r="AD8" s="1195" t="s">
        <v>67</v>
      </c>
      <c r="AE8" s="1384"/>
      <c r="AF8" s="1383">
        <v>1</v>
      </c>
      <c r="AG8" s="1437"/>
      <c r="AH8" s="1133" t="s">
        <v>67</v>
      </c>
      <c r="AI8" s="1384"/>
      <c r="AJ8" s="1383">
        <v>1</v>
      </c>
      <c r="AK8" s="1436" t="s">
        <v>17</v>
      </c>
      <c r="AL8" s="1133" t="s">
        <v>67</v>
      </c>
      <c r="AM8" s="1183"/>
      <c r="AN8" s="1383">
        <v>1</v>
      </c>
      <c r="AO8" s="1441"/>
      <c r="AP8" s="1442" t="s">
        <v>67</v>
      </c>
      <c r="AQ8" s="190"/>
      <c r="AR8" s="820">
        <v>1</v>
      </c>
      <c r="AS8" s="165" t="s">
        <v>17</v>
      </c>
      <c r="AT8" s="1054"/>
      <c r="AU8" s="1056"/>
      <c r="AV8" s="1054"/>
      <c r="AW8" s="1056"/>
      <c r="AX8" s="990"/>
      <c r="AY8" s="322" t="s">
        <v>67</v>
      </c>
      <c r="AZ8" s="990"/>
      <c r="BA8" s="322" t="s">
        <v>67</v>
      </c>
      <c r="BB8" s="1060"/>
      <c r="BC8" s="1359" t="s">
        <v>1701</v>
      </c>
      <c r="BE8" s="79"/>
      <c r="BF8" s="79" t="str">
        <f t="shared" si="0"/>
        <v/>
      </c>
      <c r="BG8" s="79"/>
      <c r="BH8" s="79"/>
    </row>
    <row r="9" spans="1:60" ht="11.25" hidden="1" customHeight="1">
      <c r="A9" s="822"/>
      <c r="B9" s="822"/>
      <c r="C9" s="822"/>
      <c r="D9" s="822"/>
      <c r="E9" s="1338"/>
      <c r="F9" s="1338"/>
      <c r="G9" s="1338"/>
      <c r="H9" s="1338"/>
      <c r="I9" s="1340"/>
      <c r="J9" s="1340"/>
      <c r="K9" s="1339"/>
      <c r="L9" s="823"/>
      <c r="P9" s="1259"/>
      <c r="Q9" s="1259"/>
      <c r="R9" s="1391"/>
      <c r="S9" s="1389"/>
      <c r="T9" s="1439"/>
      <c r="U9" s="179"/>
      <c r="V9" s="1067"/>
      <c r="W9" s="1071"/>
      <c r="X9" s="1067"/>
      <c r="Y9" s="1071"/>
      <c r="Z9" s="1067"/>
      <c r="AA9" s="1067"/>
      <c r="AB9" s="1067"/>
      <c r="AC9" s="1067"/>
      <c r="AD9" s="1196"/>
      <c r="AE9" s="1384"/>
      <c r="AF9" s="1383"/>
      <c r="AG9" s="1437"/>
      <c r="AH9" s="1133"/>
      <c r="AI9" s="1384"/>
      <c r="AJ9" s="1383"/>
      <c r="AK9" s="1436"/>
      <c r="AL9" s="1133"/>
      <c r="AM9" s="1188"/>
      <c r="AN9" s="1383"/>
      <c r="AO9" s="1441"/>
      <c r="AP9" s="1443"/>
      <c r="AQ9" s="195"/>
      <c r="AR9" s="62"/>
      <c r="AS9" s="62" t="s">
        <v>1702</v>
      </c>
      <c r="AT9" s="1067"/>
      <c r="AU9" s="1071"/>
      <c r="AV9" s="1067"/>
      <c r="AW9" s="1071"/>
      <c r="AX9" s="1067"/>
      <c r="AY9" s="1067"/>
      <c r="AZ9" s="1067"/>
      <c r="BA9" s="1067"/>
      <c r="BB9" s="1070"/>
      <c r="BC9" s="1360"/>
      <c r="BE9" s="79"/>
      <c r="BF9" s="79"/>
      <c r="BG9" s="79"/>
      <c r="BH9" s="79"/>
    </row>
    <row r="10" spans="1:60" ht="11.25" hidden="1" customHeight="1">
      <c r="A10" s="822"/>
      <c r="B10" s="822"/>
      <c r="C10" s="822"/>
      <c r="D10" s="822"/>
      <c r="E10" s="1338"/>
      <c r="F10" s="1338"/>
      <c r="G10" s="1338"/>
      <c r="H10" s="1338"/>
      <c r="I10" s="1340"/>
      <c r="J10" s="1340"/>
      <c r="K10" s="1339"/>
      <c r="L10" s="823"/>
      <c r="P10" s="1259"/>
      <c r="Q10" s="1259"/>
      <c r="R10" s="1391"/>
      <c r="S10" s="1389"/>
      <c r="T10" s="1439"/>
      <c r="U10" s="179"/>
      <c r="V10" s="1067"/>
      <c r="W10" s="1071"/>
      <c r="X10" s="1067"/>
      <c r="Y10" s="1071"/>
      <c r="Z10" s="1067"/>
      <c r="AA10" s="1067"/>
      <c r="AB10" s="1067"/>
      <c r="AC10" s="1067"/>
      <c r="AD10" s="1196"/>
      <c r="AE10" s="1384"/>
      <c r="AF10" s="1383"/>
      <c r="AG10" s="1437"/>
      <c r="AH10" s="1133"/>
      <c r="AI10" s="1384"/>
      <c r="AJ10" s="1383"/>
      <c r="AK10" s="1436"/>
      <c r="AL10" s="1133"/>
      <c r="AM10" s="195"/>
      <c r="AN10" s="861"/>
      <c r="AO10" s="861" t="s">
        <v>1703</v>
      </c>
      <c r="AP10" s="62"/>
      <c r="AQ10" s="62"/>
      <c r="AR10" s="62"/>
      <c r="AS10" s="1067"/>
      <c r="AT10" s="1067"/>
      <c r="AU10" s="1071"/>
      <c r="AV10" s="1067"/>
      <c r="AW10" s="1071"/>
      <c r="AX10" s="1067"/>
      <c r="AY10" s="1067"/>
      <c r="AZ10" s="1067"/>
      <c r="BA10" s="1067"/>
      <c r="BB10" s="1070"/>
      <c r="BC10" s="1360"/>
      <c r="BE10" s="79"/>
      <c r="BF10" s="79"/>
      <c r="BG10" s="79"/>
      <c r="BH10" s="79"/>
    </row>
    <row r="11" spans="1:60" ht="11.25" hidden="1" customHeight="1">
      <c r="A11" s="822"/>
      <c r="B11" s="822"/>
      <c r="C11" s="822"/>
      <c r="D11" s="822"/>
      <c r="E11" s="1338"/>
      <c r="F11" s="1338"/>
      <c r="G11" s="1338"/>
      <c r="H11" s="1338"/>
      <c r="I11" s="1340"/>
      <c r="J11" s="1340"/>
      <c r="K11" s="1339"/>
      <c r="L11" s="823"/>
      <c r="P11" s="1259"/>
      <c r="Q11" s="1259"/>
      <c r="R11" s="1391"/>
      <c r="S11" s="1389"/>
      <c r="T11" s="1439"/>
      <c r="U11" s="179"/>
      <c r="V11" s="1067"/>
      <c r="W11" s="1071"/>
      <c r="X11" s="1067"/>
      <c r="Y11" s="1071"/>
      <c r="Z11" s="1067"/>
      <c r="AA11" s="1067"/>
      <c r="AB11" s="1067"/>
      <c r="AC11" s="1067"/>
      <c r="AD11" s="1196"/>
      <c r="AE11" s="1384"/>
      <c r="AF11" s="1383"/>
      <c r="AG11" s="1437"/>
      <c r="AH11" s="1133"/>
      <c r="AI11" s="177"/>
      <c r="AJ11" s="116"/>
      <c r="AK11" s="192" t="s">
        <v>1704</v>
      </c>
      <c r="AL11" s="1067"/>
      <c r="AM11" s="1067"/>
      <c r="AN11" s="1067"/>
      <c r="AO11" s="1067"/>
      <c r="AP11" s="1067"/>
      <c r="AQ11" s="1067"/>
      <c r="AR11" s="1067"/>
      <c r="AS11" s="1067"/>
      <c r="AT11" s="1067"/>
      <c r="AU11" s="1071"/>
      <c r="AV11" s="1067"/>
      <c r="AW11" s="1071"/>
      <c r="AX11" s="1067"/>
      <c r="AY11" s="1067"/>
      <c r="AZ11" s="1067"/>
      <c r="BA11" s="1067"/>
      <c r="BB11" s="1070"/>
      <c r="BC11" s="1360"/>
      <c r="BE11" s="79"/>
      <c r="BF11" s="79"/>
      <c r="BG11" s="79"/>
      <c r="BH11" s="79"/>
    </row>
    <row r="12" spans="1:60" ht="11.25" hidden="1" customHeight="1">
      <c r="A12" s="822"/>
      <c r="B12" s="822"/>
      <c r="C12" s="822"/>
      <c r="D12" s="822"/>
      <c r="E12" s="1338"/>
      <c r="F12" s="1338"/>
      <c r="G12" s="1338"/>
      <c r="H12" s="1338"/>
      <c r="I12" s="1340"/>
      <c r="J12" s="1340"/>
      <c r="K12" s="1339"/>
      <c r="L12" s="823"/>
      <c r="P12" s="1259"/>
      <c r="Q12" s="1259"/>
      <c r="R12" s="1391"/>
      <c r="S12" s="1390"/>
      <c r="T12" s="1440"/>
      <c r="U12" s="179"/>
      <c r="V12" s="1067"/>
      <c r="W12" s="1068" t="str">
        <f>Z8&amp;"-"&amp;AB8</f>
        <v>-</v>
      </c>
      <c r="X12" s="1067"/>
      <c r="Y12" s="1068" t="str">
        <f>AB8&amp;"-"&amp;AD8</f>
        <v>-да</v>
      </c>
      <c r="Z12" s="1067"/>
      <c r="AA12" s="1067"/>
      <c r="AB12" s="1067"/>
      <c r="AC12" s="1067"/>
      <c r="AD12" s="1138"/>
      <c r="AE12" s="191"/>
      <c r="AF12" s="193"/>
      <c r="AG12" s="62" t="s">
        <v>1705</v>
      </c>
      <c r="AH12" s="1067"/>
      <c r="AI12" s="1067"/>
      <c r="AJ12" s="1067"/>
      <c r="AK12" s="1067"/>
      <c r="AL12" s="1067"/>
      <c r="AM12" s="1067"/>
      <c r="AN12" s="1067"/>
      <c r="AO12" s="1067"/>
      <c r="AP12" s="1067"/>
      <c r="AQ12" s="1067"/>
      <c r="AR12" s="1067"/>
      <c r="AS12" s="1067"/>
      <c r="AT12" s="1067"/>
      <c r="AU12" s="1068" t="str">
        <f>AX8&amp;"-"&amp;AZ8</f>
        <v>-</v>
      </c>
      <c r="AV12" s="1067"/>
      <c r="AW12" s="1068" t="str">
        <f>AZ8&amp;"-"&amp;BB8</f>
        <v>-</v>
      </c>
      <c r="AX12" s="1067"/>
      <c r="AY12" s="1067"/>
      <c r="AZ12" s="1067"/>
      <c r="BA12" s="1067"/>
      <c r="BB12" s="1073" t="str">
        <f>BE8&amp;"-"&amp;BG8</f>
        <v>-</v>
      </c>
      <c r="BC12" s="1360"/>
      <c r="BE12" s="79"/>
      <c r="BF12" s="79" t="str">
        <f t="shared" ref="BF12:BF18" si="1">IF(T12="","",T12)</f>
        <v/>
      </c>
      <c r="BG12" s="79"/>
      <c r="BH12" s="79"/>
    </row>
    <row r="13" spans="1:60" ht="11.25" hidden="1" customHeight="1">
      <c r="A13" s="822"/>
      <c r="B13" s="822"/>
      <c r="C13" s="822"/>
      <c r="D13" s="822"/>
      <c r="E13" s="1338"/>
      <c r="F13" s="1338"/>
      <c r="G13" s="1338"/>
      <c r="H13" s="1338"/>
      <c r="I13" s="1340"/>
      <c r="J13" s="1339"/>
      <c r="K13" s="822"/>
      <c r="L13" s="823"/>
      <c r="P13" s="1259"/>
      <c r="Q13" s="1259"/>
      <c r="R13" s="221"/>
      <c r="S13" s="796"/>
      <c r="T13" s="174" t="s">
        <v>1542</v>
      </c>
      <c r="U13" s="228"/>
      <c r="V13" s="228"/>
      <c r="W13" s="228"/>
      <c r="X13" s="228"/>
      <c r="Y13" s="228"/>
      <c r="Z13" s="228"/>
      <c r="AA13" s="228"/>
      <c r="AB13" s="228"/>
      <c r="AC13" s="228"/>
      <c r="AD13" s="865"/>
      <c r="AE13" s="228"/>
      <c r="AF13" s="228"/>
      <c r="AG13" s="228"/>
      <c r="AH13" s="228"/>
      <c r="AI13" s="228"/>
      <c r="AJ13" s="228"/>
      <c r="AK13" s="228"/>
      <c r="AL13" s="228"/>
      <c r="AM13" s="228"/>
      <c r="AN13" s="228"/>
      <c r="AO13" s="228"/>
      <c r="AP13" s="228"/>
      <c r="AQ13" s="228"/>
      <c r="AR13" s="228"/>
      <c r="AS13" s="228"/>
      <c r="AT13" s="228"/>
      <c r="AU13" s="228"/>
      <c r="AV13" s="228"/>
      <c r="AW13" s="228"/>
      <c r="AX13" s="228"/>
      <c r="AY13" s="228"/>
      <c r="AZ13" s="228"/>
      <c r="BA13" s="228"/>
      <c r="BB13" s="204"/>
      <c r="BC13" s="1361"/>
      <c r="BE13" s="79"/>
      <c r="BF13" s="79" t="str">
        <f t="shared" si="1"/>
        <v>Добавить строку</v>
      </c>
      <c r="BG13" s="79"/>
      <c r="BH13" s="79"/>
    </row>
    <row r="14" spans="1:60" s="77" customFormat="1" ht="14.25" hidden="1" customHeight="1">
      <c r="A14" s="150"/>
      <c r="B14" s="150"/>
      <c r="C14" s="150"/>
      <c r="D14" s="150"/>
      <c r="E14" s="1338"/>
      <c r="F14" s="1338"/>
      <c r="G14" s="1338"/>
      <c r="H14" s="1338"/>
      <c r="I14" s="1339"/>
      <c r="J14" s="150"/>
      <c r="K14" s="150"/>
      <c r="L14" s="373"/>
      <c r="M14" s="235"/>
      <c r="N14" s="235"/>
      <c r="O14" s="235"/>
      <c r="P14" s="1259"/>
      <c r="Q14" s="127"/>
      <c r="R14" s="221"/>
      <c r="S14" s="834"/>
      <c r="T14" s="835"/>
      <c r="U14" s="836"/>
      <c r="V14" s="836"/>
      <c r="W14" s="836"/>
      <c r="X14" s="836"/>
      <c r="Y14" s="836"/>
      <c r="Z14" s="836"/>
      <c r="AA14" s="836"/>
      <c r="AB14" s="836"/>
      <c r="AC14" s="836"/>
      <c r="AD14" s="836"/>
      <c r="AE14" s="836"/>
      <c r="AF14" s="836"/>
      <c r="AG14" s="836"/>
      <c r="AH14" s="836"/>
      <c r="AI14" s="836"/>
      <c r="AJ14" s="836"/>
      <c r="AK14" s="836"/>
      <c r="AL14" s="836"/>
      <c r="AM14" s="836"/>
      <c r="AN14" s="836"/>
      <c r="AO14" s="836"/>
      <c r="AP14" s="836"/>
      <c r="AQ14" s="836"/>
      <c r="AR14" s="836"/>
      <c r="AS14" s="836"/>
      <c r="AT14" s="836"/>
      <c r="AU14" s="836"/>
      <c r="AV14" s="836"/>
      <c r="AW14" s="836"/>
      <c r="AX14" s="836"/>
      <c r="AY14" s="836"/>
      <c r="AZ14" s="836"/>
      <c r="BA14" s="836"/>
      <c r="BB14" s="836"/>
      <c r="BC14" s="837"/>
      <c r="BE14" s="79"/>
      <c r="BF14" s="79" t="str">
        <f t="shared" si="1"/>
        <v/>
      </c>
      <c r="BG14" s="79"/>
      <c r="BH14" s="79"/>
    </row>
    <row r="15" spans="1:60" s="77" customFormat="1" ht="14.25" hidden="1" customHeight="1">
      <c r="A15" s="150"/>
      <c r="B15" s="150"/>
      <c r="C15" s="150"/>
      <c r="D15" s="150"/>
      <c r="E15" s="1338"/>
      <c r="F15" s="1338"/>
      <c r="G15" s="1338"/>
      <c r="H15" s="1337"/>
      <c r="I15" s="150"/>
      <c r="J15" s="150"/>
      <c r="K15" s="150"/>
      <c r="L15" s="373"/>
      <c r="M15" s="318"/>
      <c r="N15" s="318"/>
      <c r="P15" s="111"/>
      <c r="Q15" s="811"/>
      <c r="R15" s="842"/>
      <c r="S15" s="834"/>
      <c r="T15" s="835"/>
      <c r="U15" s="836"/>
      <c r="V15" s="836"/>
      <c r="W15" s="836"/>
      <c r="X15" s="836"/>
      <c r="Y15" s="836"/>
      <c r="Z15" s="836"/>
      <c r="AA15" s="836"/>
      <c r="AB15" s="836"/>
      <c r="AC15" s="836"/>
      <c r="AD15" s="836"/>
      <c r="AE15" s="836"/>
      <c r="AF15" s="836"/>
      <c r="AG15" s="836"/>
      <c r="AH15" s="836"/>
      <c r="AI15" s="836"/>
      <c r="AJ15" s="836"/>
      <c r="AK15" s="836"/>
      <c r="AL15" s="836"/>
      <c r="AM15" s="836"/>
      <c r="AN15" s="836"/>
      <c r="AO15" s="836"/>
      <c r="AP15" s="836"/>
      <c r="AQ15" s="836"/>
      <c r="AR15" s="836"/>
      <c r="AS15" s="836"/>
      <c r="AT15" s="836"/>
      <c r="AU15" s="836"/>
      <c r="AV15" s="836"/>
      <c r="AW15" s="836"/>
      <c r="AX15" s="836"/>
      <c r="AY15" s="836"/>
      <c r="AZ15" s="836"/>
      <c r="BA15" s="836"/>
      <c r="BB15" s="836"/>
      <c r="BC15" s="837"/>
      <c r="BE15" s="79"/>
      <c r="BF15" s="79" t="str">
        <f t="shared" si="1"/>
        <v/>
      </c>
      <c r="BG15" s="79"/>
      <c r="BH15" s="79"/>
    </row>
    <row r="16" spans="1:60" s="77" customFormat="1" ht="14.25" hidden="1" customHeight="1">
      <c r="A16" s="150"/>
      <c r="B16" s="150"/>
      <c r="C16" s="150"/>
      <c r="D16" s="150"/>
      <c r="E16" s="1338"/>
      <c r="F16" s="1338"/>
      <c r="G16" s="1337"/>
      <c r="H16" s="150"/>
      <c r="I16" s="150"/>
      <c r="J16" s="150"/>
      <c r="K16" s="150"/>
      <c r="L16" s="373"/>
      <c r="M16" s="318"/>
      <c r="N16" s="318"/>
      <c r="P16" s="111"/>
      <c r="Q16" s="811"/>
      <c r="R16" s="111"/>
      <c r="S16" s="816"/>
      <c r="T16" s="818"/>
      <c r="U16" s="338"/>
      <c r="V16" s="338"/>
      <c r="W16" s="338"/>
      <c r="X16" s="338"/>
      <c r="Y16" s="338"/>
      <c r="Z16" s="338"/>
      <c r="AA16" s="338"/>
      <c r="AB16" s="338"/>
      <c r="AC16" s="338"/>
      <c r="AD16" s="338"/>
      <c r="AE16" s="338"/>
      <c r="AF16" s="338"/>
      <c r="AG16" s="338"/>
      <c r="AH16" s="338"/>
      <c r="AI16" s="338"/>
      <c r="AJ16" s="338"/>
      <c r="AK16" s="338"/>
      <c r="AL16" s="338"/>
      <c r="AM16" s="338"/>
      <c r="AN16" s="338"/>
      <c r="AO16" s="338"/>
      <c r="AP16" s="338"/>
      <c r="AQ16" s="338"/>
      <c r="AR16" s="338"/>
      <c r="AS16" s="338"/>
      <c r="AT16" s="338"/>
      <c r="AU16" s="338"/>
      <c r="AV16" s="338"/>
      <c r="AW16" s="338"/>
      <c r="AX16" s="338"/>
      <c r="AY16" s="338"/>
      <c r="AZ16" s="338"/>
      <c r="BA16" s="338"/>
      <c r="BB16" s="338"/>
      <c r="BC16" s="338"/>
      <c r="BE16" s="79"/>
      <c r="BF16" s="79" t="str">
        <f t="shared" si="1"/>
        <v/>
      </c>
      <c r="BG16" s="79"/>
      <c r="BH16" s="79"/>
    </row>
    <row r="17" spans="1:60" s="77" customFormat="1" ht="14.25" hidden="1" customHeight="1">
      <c r="A17" s="150"/>
      <c r="B17" s="150"/>
      <c r="C17" s="150"/>
      <c r="D17" s="150"/>
      <c r="E17" s="1338"/>
      <c r="F17" s="1337"/>
      <c r="G17" s="150"/>
      <c r="H17" s="150"/>
      <c r="I17" s="150"/>
      <c r="J17" s="150"/>
      <c r="K17" s="150"/>
      <c r="L17" s="373"/>
      <c r="M17" s="815"/>
      <c r="N17" s="815"/>
      <c r="P17" s="111"/>
      <c r="Q17" s="811"/>
      <c r="R17" s="111"/>
      <c r="S17" s="816"/>
      <c r="T17" s="818" t="s">
        <v>1438</v>
      </c>
      <c r="U17" s="338"/>
      <c r="V17" s="338"/>
      <c r="W17" s="338"/>
      <c r="X17" s="338"/>
      <c r="Y17" s="338"/>
      <c r="Z17" s="338"/>
      <c r="AA17" s="338"/>
      <c r="AB17" s="338"/>
      <c r="AC17" s="338"/>
      <c r="AD17" s="338"/>
      <c r="AE17" s="338"/>
      <c r="AF17" s="338"/>
      <c r="AG17" s="338"/>
      <c r="AH17" s="338"/>
      <c r="AI17" s="338"/>
      <c r="AJ17" s="338"/>
      <c r="AK17" s="338"/>
      <c r="AL17" s="338"/>
      <c r="AM17" s="338"/>
      <c r="AN17" s="338"/>
      <c r="AO17" s="338"/>
      <c r="AP17" s="338"/>
      <c r="AQ17" s="338"/>
      <c r="AR17" s="338"/>
      <c r="AS17" s="338"/>
      <c r="AT17" s="338"/>
      <c r="AU17" s="338"/>
      <c r="AV17" s="338"/>
      <c r="AW17" s="338"/>
      <c r="AX17" s="338"/>
      <c r="AY17" s="338"/>
      <c r="AZ17" s="338"/>
      <c r="BA17" s="338"/>
      <c r="BB17" s="338"/>
      <c r="BC17" s="338"/>
      <c r="BE17" s="79"/>
      <c r="BF17" s="79" t="str">
        <f t="shared" si="1"/>
        <v>Добавить централизованную систему для дифференциации</v>
      </c>
      <c r="BG17" s="79"/>
      <c r="BH17" s="79"/>
    </row>
    <row r="18" spans="1:60" s="77" customFormat="1" ht="14.25" hidden="1" customHeight="1">
      <c r="A18" s="150"/>
      <c r="B18" s="150"/>
      <c r="C18" s="150"/>
      <c r="D18" s="150"/>
      <c r="E18" s="1337"/>
      <c r="F18" s="150"/>
      <c r="G18" s="150"/>
      <c r="H18" s="150"/>
      <c r="I18" s="150"/>
      <c r="J18" s="150"/>
      <c r="K18" s="150"/>
      <c r="L18" s="373"/>
      <c r="M18" s="815"/>
      <c r="N18" s="815"/>
      <c r="P18" s="111"/>
      <c r="Q18" s="811"/>
      <c r="R18" s="111"/>
      <c r="S18" s="816"/>
      <c r="T18" s="818" t="s">
        <v>1439</v>
      </c>
      <c r="U18" s="338"/>
      <c r="V18" s="338"/>
      <c r="W18" s="338"/>
      <c r="X18" s="338"/>
      <c r="Y18" s="338"/>
      <c r="Z18" s="338"/>
      <c r="AA18" s="338"/>
      <c r="AB18" s="338"/>
      <c r="AC18" s="338"/>
      <c r="AD18" s="338"/>
      <c r="AE18" s="338"/>
      <c r="AF18" s="338"/>
      <c r="AG18" s="338"/>
      <c r="AH18" s="338"/>
      <c r="AI18" s="338"/>
      <c r="AJ18" s="338"/>
      <c r="AK18" s="338"/>
      <c r="AL18" s="338"/>
      <c r="AM18" s="338"/>
      <c r="AN18" s="338"/>
      <c r="AO18" s="338"/>
      <c r="AP18" s="338"/>
      <c r="AQ18" s="338"/>
      <c r="AR18" s="338"/>
      <c r="AS18" s="338"/>
      <c r="AT18" s="338"/>
      <c r="AU18" s="338"/>
      <c r="AV18" s="338"/>
      <c r="AW18" s="338"/>
      <c r="AX18" s="338"/>
      <c r="AY18" s="338"/>
      <c r="AZ18" s="338"/>
      <c r="BA18" s="338"/>
      <c r="BB18" s="338"/>
      <c r="BC18" s="338"/>
      <c r="BE18" s="79"/>
      <c r="BF18" s="79" t="str">
        <f t="shared" si="1"/>
        <v>Добавить территорию для дифференциации</v>
      </c>
      <c r="BG18" s="79"/>
      <c r="BH18" s="79"/>
    </row>
    <row r="19" spans="1:60" ht="14.25" hidden="1" customHeight="1"/>
    <row r="20" spans="1:60" ht="14.25" hidden="1" customHeight="1">
      <c r="AD20" s="338" t="s">
        <v>57</v>
      </c>
      <c r="AE20" s="862"/>
      <c r="AF20" s="338">
        <v>1</v>
      </c>
      <c r="AG20" s="863"/>
      <c r="AH20" s="338" t="s">
        <v>57</v>
      </c>
      <c r="AI20" s="862"/>
      <c r="AJ20" s="338">
        <v>1</v>
      </c>
      <c r="AK20" s="863"/>
      <c r="AL20" s="338" t="s">
        <v>57</v>
      </c>
      <c r="AM20" s="864"/>
      <c r="AN20" s="338">
        <v>1</v>
      </c>
      <c r="AO20" s="132"/>
      <c r="AP20" s="338" t="s">
        <v>57</v>
      </c>
      <c r="AQ20" s="864"/>
      <c r="AR20" s="338">
        <v>1</v>
      </c>
      <c r="AS20" s="132"/>
      <c r="AT20" s="1055"/>
      <c r="AU20" s="1062"/>
      <c r="AV20" s="1055"/>
      <c r="AW20" s="1062"/>
      <c r="AX20" s="992"/>
      <c r="AY20" s="843" t="s">
        <v>67</v>
      </c>
      <c r="AZ20" s="992"/>
      <c r="BA20" s="843" t="s">
        <v>67</v>
      </c>
    </row>
    <row r="21" spans="1:60" ht="14.25" hidden="1" customHeight="1">
      <c r="BD21" s="216"/>
      <c r="BE21" s="216"/>
      <c r="BF21" s="216"/>
      <c r="BG21" s="216"/>
      <c r="BH21" s="216"/>
    </row>
    <row r="22" spans="1:60" ht="14.25" hidden="1" customHeight="1">
      <c r="O22" s="824" t="s">
        <v>1479</v>
      </c>
      <c r="Z22" s="194"/>
      <c r="AB22" s="194"/>
      <c r="AX22" s="194"/>
      <c r="AZ22" s="194"/>
      <c r="BD22" s="216"/>
      <c r="BE22" s="216"/>
      <c r="BF22" s="216"/>
      <c r="BG22" s="216"/>
      <c r="BH22" s="216"/>
    </row>
    <row r="23" spans="1:60" ht="14.25" hidden="1" customHeight="1">
      <c r="BD23" s="216"/>
      <c r="BE23" s="216"/>
      <c r="BF23" s="216"/>
      <c r="BG23" s="216"/>
      <c r="BH23" s="216"/>
    </row>
    <row r="24" spans="1:60" s="867" customFormat="1" ht="14.25" hidden="1" customHeight="1">
      <c r="M24" s="868"/>
      <c r="N24" s="868"/>
      <c r="O24" s="867" t="s">
        <v>1480</v>
      </c>
      <c r="P24" s="868"/>
      <c r="Q24" s="869"/>
      <c r="R24" s="869"/>
      <c r="AA24" s="867" t="s">
        <v>1482</v>
      </c>
      <c r="AC24" s="867" t="s">
        <v>1483</v>
      </c>
      <c r="AD24" s="867" t="s">
        <v>1543</v>
      </c>
      <c r="AH24" s="867" t="s">
        <v>1543</v>
      </c>
      <c r="AK24" s="867" t="s">
        <v>1706</v>
      </c>
      <c r="AL24" s="867" t="s">
        <v>1543</v>
      </c>
      <c r="AP24" s="867" t="s">
        <v>1543</v>
      </c>
      <c r="AY24" s="867" t="s">
        <v>1482</v>
      </c>
      <c r="BA24" s="867" t="s">
        <v>1483</v>
      </c>
      <c r="BD24" s="870"/>
      <c r="BE24" s="870"/>
      <c r="BF24" s="870"/>
      <c r="BG24" s="870"/>
      <c r="BH24" s="870"/>
    </row>
    <row r="25" spans="1:60" ht="14.25" hidden="1" customHeight="1">
      <c r="O25" s="823"/>
      <c r="BD25" s="216"/>
      <c r="BE25" s="216"/>
      <c r="BF25" s="216"/>
      <c r="BG25" s="216"/>
      <c r="BH25" s="216"/>
    </row>
    <row r="26" spans="1:60" ht="14.25" hidden="1" customHeight="1">
      <c r="O26" s="823"/>
      <c r="BD26" s="216"/>
      <c r="BE26" s="216"/>
      <c r="BF26" s="216"/>
      <c r="BG26" s="216"/>
      <c r="BH26" s="216"/>
    </row>
    <row r="27" spans="1:60" ht="14.25" customHeight="1">
      <c r="Q27" s="176"/>
      <c r="R27" s="36"/>
      <c r="S27" s="793"/>
      <c r="T27" s="25"/>
      <c r="U27" s="25"/>
    </row>
    <row r="28" spans="1:60" ht="33.75" customHeight="1">
      <c r="Q28" s="176"/>
      <c r="R28" s="36"/>
      <c r="S28" s="1181" t="str">
        <f>IF(TEMPLATE_GROUP="P",PT_P_FORM_COLDVSNA_5_NAME_FORM,PT_R_FORM_COLDVSNA_17_NAME_FORM)</f>
        <v>Форма 16.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 &lt;1&gt;</v>
      </c>
      <c r="T28" s="1181"/>
      <c r="U28" s="1181"/>
      <c r="V28" s="1181"/>
      <c r="W28" s="1181"/>
      <c r="X28" s="1181"/>
      <c r="Y28" s="1181"/>
      <c r="Z28" s="1181"/>
      <c r="AA28" s="1181"/>
      <c r="AB28" s="1181"/>
      <c r="AC28" s="1181"/>
      <c r="AD28" s="1181"/>
      <c r="AE28" s="1181"/>
      <c r="AF28" s="1181"/>
      <c r="AG28" s="1181"/>
      <c r="AH28" s="1181"/>
      <c r="AI28" s="1181"/>
      <c r="AJ28" s="1181"/>
      <c r="AK28" s="1181"/>
      <c r="AL28" s="1181"/>
      <c r="AM28" s="1181"/>
      <c r="AN28" s="1181"/>
      <c r="AO28" s="1181"/>
      <c r="AP28" s="1181"/>
      <c r="AQ28" s="1181"/>
      <c r="AR28" s="1181"/>
      <c r="AS28" s="1181"/>
      <c r="AT28" s="1181"/>
      <c r="AU28" s="1181"/>
      <c r="AV28" s="1181"/>
      <c r="AW28" s="1181"/>
      <c r="AX28" s="1181"/>
      <c r="AY28" s="1181"/>
      <c r="AZ28" s="1181"/>
      <c r="BA28" s="69"/>
    </row>
    <row r="29" spans="1:60" ht="14.25" customHeight="1">
      <c r="Q29" s="176"/>
      <c r="R29" s="36"/>
      <c r="S29" s="1204" t="str">
        <f>IF(org=0,"Не определено",org)</f>
        <v>ООО "ТЕПЛО ПЛЮС"</v>
      </c>
      <c r="T29" s="1204"/>
      <c r="U29" s="1204"/>
      <c r="V29" s="1204"/>
      <c r="W29" s="1204"/>
      <c r="X29" s="1204"/>
      <c r="Y29" s="1204"/>
      <c r="Z29" s="1204"/>
      <c r="AA29" s="1204"/>
      <c r="AB29" s="1204"/>
      <c r="AC29" s="1204"/>
      <c r="AD29" s="1204"/>
      <c r="AE29" s="1204"/>
      <c r="AF29" s="1204"/>
      <c r="AG29" s="1204"/>
      <c r="AH29" s="1204"/>
      <c r="AI29" s="1204"/>
      <c r="AJ29" s="1204"/>
      <c r="AK29" s="1204"/>
      <c r="AL29" s="1204"/>
      <c r="AM29" s="1204"/>
      <c r="AN29" s="1204"/>
      <c r="AO29" s="1204"/>
      <c r="AP29" s="1204"/>
      <c r="AQ29" s="1204"/>
      <c r="AR29" s="1204"/>
      <c r="AS29" s="1204"/>
      <c r="AT29" s="1204"/>
      <c r="AU29" s="1204"/>
      <c r="AV29" s="1204"/>
      <c r="AW29" s="1204"/>
      <c r="AX29" s="1204"/>
      <c r="AY29" s="1204"/>
      <c r="AZ29" s="1204"/>
      <c r="BA29" s="69"/>
    </row>
    <row r="30" spans="1:60" ht="14.25" hidden="1" customHeight="1">
      <c r="Q30" s="176"/>
      <c r="R30" s="36"/>
      <c r="S30" s="793"/>
      <c r="T30" s="25"/>
      <c r="U30" s="25"/>
      <c r="V30" s="202"/>
      <c r="W30" s="202"/>
      <c r="X30" s="202"/>
      <c r="Y30" s="202"/>
      <c r="Z30" s="202"/>
      <c r="AA30" s="202"/>
      <c r="AB30" s="202"/>
      <c r="AC30" s="202"/>
      <c r="AD30" s="202"/>
      <c r="AE30" s="202"/>
      <c r="AF30" s="202"/>
      <c r="AG30" s="202"/>
      <c r="AH30" s="202"/>
      <c r="AI30" s="202"/>
      <c r="AJ30" s="202"/>
      <c r="AK30" s="202"/>
      <c r="AL30" s="202"/>
      <c r="AM30" s="202"/>
      <c r="AN30" s="202"/>
      <c r="AO30" s="202"/>
      <c r="AP30" s="202"/>
      <c r="AQ30" s="202"/>
      <c r="AR30" s="202"/>
      <c r="AS30" s="202"/>
      <c r="AT30" s="202"/>
      <c r="AU30" s="202"/>
      <c r="AV30" s="202"/>
      <c r="AW30" s="202"/>
      <c r="AX30" s="202"/>
      <c r="AY30" s="202"/>
      <c r="AZ30" s="202"/>
      <c r="BA30" s="202"/>
    </row>
    <row r="31" spans="1:60" s="44" customFormat="1" ht="25.5" hidden="1" customHeight="1">
      <c r="A31" s="91"/>
      <c r="B31" s="91"/>
      <c r="C31" s="91"/>
      <c r="D31" s="91"/>
      <c r="E31" s="91"/>
      <c r="F31" s="91"/>
      <c r="G31" s="91"/>
      <c r="H31" s="91"/>
      <c r="I31" s="91"/>
      <c r="J31" s="91"/>
      <c r="K31" s="91"/>
      <c r="L31" s="823"/>
      <c r="M31" s="91"/>
      <c r="N31" s="91"/>
      <c r="O31" s="91"/>
      <c r="P31" s="91"/>
      <c r="Q31" s="91"/>
      <c r="S31" s="1329" t="s">
        <v>39</v>
      </c>
      <c r="T31" s="1329"/>
      <c r="U31" s="826"/>
      <c r="V31" s="1330"/>
      <c r="W31" s="1330"/>
      <c r="X31" s="1330"/>
      <c r="Y31" s="1330"/>
      <c r="Z31" s="1330"/>
      <c r="AA31" s="1330"/>
      <c r="AB31" s="1330"/>
      <c r="AC31" s="24"/>
      <c r="AD31" s="1330" t="str">
        <f>IF(TITLE_NAME_OR_PR_CHANGE="",IF(TITLE_NAME_OR_PR="","",TITLE_NAME_OR_PR),TITLE_NAME_OR_PR_CHANGE)</f>
        <v/>
      </c>
      <c r="AE31" s="1330"/>
      <c r="AF31" s="1330"/>
      <c r="AG31" s="1330"/>
      <c r="AH31" s="1330"/>
      <c r="AI31" s="1330"/>
      <c r="AJ31" s="1330"/>
      <c r="AK31" s="1330"/>
      <c r="AL31" s="1330"/>
      <c r="AM31" s="1330"/>
      <c r="AN31" s="1330"/>
      <c r="AO31" s="1330"/>
      <c r="AP31" s="1330"/>
      <c r="AQ31" s="1330"/>
      <c r="AR31" s="1330"/>
      <c r="AS31" s="1330"/>
      <c r="AT31" s="1330"/>
      <c r="AU31" s="1330"/>
      <c r="AV31" s="1330"/>
      <c r="AW31" s="1330"/>
      <c r="AX31" s="1330"/>
      <c r="AY31" s="1330"/>
      <c r="AZ31" s="1330"/>
      <c r="BA31" s="24"/>
      <c r="BB31" s="24"/>
      <c r="BC31" s="171"/>
      <c r="BD31" s="79"/>
      <c r="BE31" s="79"/>
      <c r="BF31" s="79"/>
      <c r="BG31" s="79"/>
      <c r="BH31" s="79"/>
    </row>
    <row r="32" spans="1:60" s="44" customFormat="1" ht="18.75" hidden="1" customHeight="1">
      <c r="A32" s="91"/>
      <c r="B32" s="91"/>
      <c r="C32" s="91"/>
      <c r="D32" s="91"/>
      <c r="E32" s="91"/>
      <c r="F32" s="91"/>
      <c r="G32" s="91"/>
      <c r="H32" s="91"/>
      <c r="I32" s="91"/>
      <c r="J32" s="91"/>
      <c r="K32" s="91"/>
      <c r="L32" s="823"/>
      <c r="M32" s="91"/>
      <c r="N32" s="91"/>
      <c r="O32" s="91"/>
      <c r="P32" s="91"/>
      <c r="Q32" s="91"/>
      <c r="S32" s="1329" t="s">
        <v>1485</v>
      </c>
      <c r="T32" s="1329"/>
      <c r="U32" s="826"/>
      <c r="V32" s="1330"/>
      <c r="W32" s="1330"/>
      <c r="X32" s="1330"/>
      <c r="Y32" s="1330"/>
      <c r="Z32" s="1330"/>
      <c r="AA32" s="1330"/>
      <c r="AB32" s="1330"/>
      <c r="AC32" s="24"/>
      <c r="AD32" s="1330" t="str">
        <f>IF(TITLE_DATE_CHANGE_PERIOD="",IF(TITLE_DATE_PR="","",TITLE_DATE_PR),TITLE_DATE_CHANGE_PERIOD)</f>
        <v/>
      </c>
      <c r="AE32" s="1330"/>
      <c r="AF32" s="1330"/>
      <c r="AG32" s="1330"/>
      <c r="AH32" s="1330"/>
      <c r="AI32" s="1330"/>
      <c r="AJ32" s="1330"/>
      <c r="AK32" s="1330"/>
      <c r="AL32" s="1330"/>
      <c r="AM32" s="1330"/>
      <c r="AN32" s="1330"/>
      <c r="AO32" s="1330"/>
      <c r="AP32" s="1330"/>
      <c r="AQ32" s="1330"/>
      <c r="AR32" s="1330"/>
      <c r="AS32" s="1330"/>
      <c r="AT32" s="1330"/>
      <c r="AU32" s="1330"/>
      <c r="AV32" s="1330"/>
      <c r="AW32" s="1330"/>
      <c r="AX32" s="1330"/>
      <c r="AY32" s="1330"/>
      <c r="AZ32" s="1330"/>
      <c r="BA32" s="24"/>
      <c r="BB32" s="24"/>
      <c r="BC32" s="171"/>
      <c r="BD32" s="79"/>
      <c r="BE32" s="79"/>
      <c r="BF32" s="79"/>
      <c r="BG32" s="79"/>
      <c r="BH32" s="79"/>
    </row>
    <row r="33" spans="1:60" s="44" customFormat="1" ht="18.75" hidden="1" customHeight="1">
      <c r="A33" s="91"/>
      <c r="B33" s="91"/>
      <c r="C33" s="91"/>
      <c r="D33" s="91"/>
      <c r="E33" s="91"/>
      <c r="F33" s="91"/>
      <c r="G33" s="91"/>
      <c r="H33" s="91"/>
      <c r="I33" s="91"/>
      <c r="J33" s="91"/>
      <c r="K33" s="91"/>
      <c r="L33" s="823"/>
      <c r="M33" s="91"/>
      <c r="N33" s="91"/>
      <c r="O33" s="91"/>
      <c r="P33" s="91"/>
      <c r="Q33" s="91"/>
      <c r="S33" s="1329" t="s">
        <v>1486</v>
      </c>
      <c r="T33" s="1329"/>
      <c r="U33" s="826"/>
      <c r="V33" s="1330"/>
      <c r="W33" s="1330"/>
      <c r="X33" s="1330"/>
      <c r="Y33" s="1330"/>
      <c r="Z33" s="1330"/>
      <c r="AA33" s="1330"/>
      <c r="AB33" s="1330"/>
      <c r="AC33" s="24"/>
      <c r="AD33" s="1330" t="str">
        <f>IF(TITLE_NUMBER_PR_CHANGE="",IF(TITLE_NUMBER_PR="","",TITLE_NUMBER_PR),TITLE_NUMBER_PR_CHANGE)</f>
        <v/>
      </c>
      <c r="AE33" s="1330"/>
      <c r="AF33" s="1330"/>
      <c r="AG33" s="1330"/>
      <c r="AH33" s="1330"/>
      <c r="AI33" s="1330"/>
      <c r="AJ33" s="1330"/>
      <c r="AK33" s="1330"/>
      <c r="AL33" s="1330"/>
      <c r="AM33" s="1330"/>
      <c r="AN33" s="1330"/>
      <c r="AO33" s="1330"/>
      <c r="AP33" s="1330"/>
      <c r="AQ33" s="1330"/>
      <c r="AR33" s="1330"/>
      <c r="AS33" s="1330"/>
      <c r="AT33" s="1330"/>
      <c r="AU33" s="1330"/>
      <c r="AV33" s="1330"/>
      <c r="AW33" s="1330"/>
      <c r="AX33" s="1330"/>
      <c r="AY33" s="1330"/>
      <c r="AZ33" s="1330"/>
      <c r="BA33" s="24"/>
      <c r="BB33" s="24"/>
      <c r="BC33" s="171"/>
      <c r="BD33" s="79"/>
      <c r="BE33" s="79"/>
      <c r="BF33" s="79"/>
      <c r="BG33" s="79"/>
      <c r="BH33" s="79"/>
    </row>
    <row r="34" spans="1:60" s="44" customFormat="1" ht="18.75" hidden="1" customHeight="1">
      <c r="A34" s="91"/>
      <c r="B34" s="91"/>
      <c r="C34" s="91"/>
      <c r="D34" s="91"/>
      <c r="E34" s="91"/>
      <c r="F34" s="91"/>
      <c r="G34" s="91"/>
      <c r="H34" s="91"/>
      <c r="I34" s="91"/>
      <c r="J34" s="91"/>
      <c r="K34" s="91"/>
      <c r="L34" s="823"/>
      <c r="M34" s="91"/>
      <c r="N34" s="91"/>
      <c r="O34" s="91"/>
      <c r="P34" s="91"/>
      <c r="Q34" s="91"/>
      <c r="S34" s="1329" t="s">
        <v>40</v>
      </c>
      <c r="T34" s="1329"/>
      <c r="U34" s="826"/>
      <c r="V34" s="1330"/>
      <c r="W34" s="1330"/>
      <c r="X34" s="1330"/>
      <c r="Y34" s="1330"/>
      <c r="Z34" s="1330"/>
      <c r="AA34" s="1330"/>
      <c r="AB34" s="1330"/>
      <c r="AC34" s="24"/>
      <c r="AD34" s="1330" t="str">
        <f>IF(TITLE_IST_PUB_CHANGE="",IF(TITLE_IST_PUB="","",TITLE_IST_PUB),TITLE_IST_PUB_CHANGE)</f>
        <v/>
      </c>
      <c r="AE34" s="1330"/>
      <c r="AF34" s="1330"/>
      <c r="AG34" s="1330"/>
      <c r="AH34" s="1330"/>
      <c r="AI34" s="1330"/>
      <c r="AJ34" s="1330"/>
      <c r="AK34" s="1330"/>
      <c r="AL34" s="1330"/>
      <c r="AM34" s="1330"/>
      <c r="AN34" s="1330"/>
      <c r="AO34" s="1330"/>
      <c r="AP34" s="1330"/>
      <c r="AQ34" s="1330"/>
      <c r="AR34" s="1330"/>
      <c r="AS34" s="1330"/>
      <c r="AT34" s="1330"/>
      <c r="AU34" s="1330"/>
      <c r="AV34" s="1330"/>
      <c r="AW34" s="1330"/>
      <c r="AX34" s="1330"/>
      <c r="AY34" s="1330"/>
      <c r="AZ34" s="1330"/>
      <c r="BA34" s="24"/>
      <c r="BB34" s="24"/>
      <c r="BC34" s="171"/>
      <c r="BD34" s="79"/>
      <c r="BE34" s="79"/>
      <c r="BF34" s="79"/>
      <c r="BG34" s="79"/>
      <c r="BH34" s="79"/>
    </row>
    <row r="35" spans="1:60" ht="14.25" hidden="1" customHeight="1">
      <c r="Q35" s="176"/>
      <c r="R35" s="36"/>
      <c r="S35" s="793"/>
      <c r="T35" s="25"/>
      <c r="U35" s="25"/>
      <c r="V35" s="202"/>
      <c r="W35" s="202"/>
      <c r="X35" s="202"/>
      <c r="Y35" s="202"/>
      <c r="Z35" s="202"/>
      <c r="AA35" s="202"/>
      <c r="AB35" s="202"/>
      <c r="AC35" s="202"/>
      <c r="AD35" s="202"/>
      <c r="AE35" s="202"/>
      <c r="AF35" s="202"/>
      <c r="AG35" s="202"/>
      <c r="AH35" s="202"/>
      <c r="AI35" s="202"/>
      <c r="AJ35" s="202"/>
      <c r="AK35" s="202"/>
      <c r="AL35" s="202"/>
      <c r="AM35" s="202"/>
      <c r="AN35" s="202"/>
      <c r="AO35" s="202"/>
      <c r="AP35" s="202"/>
      <c r="AQ35" s="202"/>
      <c r="AR35" s="202"/>
      <c r="AS35" s="202"/>
      <c r="AT35" s="202"/>
      <c r="AU35" s="202"/>
      <c r="AV35" s="202"/>
      <c r="AW35" s="202"/>
      <c r="AX35" s="202"/>
      <c r="AY35" s="202"/>
      <c r="AZ35" s="202"/>
      <c r="BA35" s="202"/>
    </row>
    <row r="36" spans="1:60" s="44" customFormat="1" ht="18.75" hidden="1" customHeight="1">
      <c r="A36" s="91"/>
      <c r="B36" s="91"/>
      <c r="C36" s="91"/>
      <c r="D36" s="91"/>
      <c r="E36" s="91"/>
      <c r="F36" s="91"/>
      <c r="G36" s="91"/>
      <c r="H36" s="91"/>
      <c r="I36" s="91"/>
      <c r="J36" s="91"/>
      <c r="K36" s="91"/>
      <c r="L36" s="823"/>
      <c r="M36" s="91"/>
      <c r="N36" s="91"/>
      <c r="O36" s="91"/>
      <c r="P36" s="91"/>
      <c r="Q36" s="91"/>
      <c r="S36" s="1329" t="s">
        <v>1485</v>
      </c>
      <c r="T36" s="1329"/>
      <c r="U36" s="826"/>
      <c r="V36" s="1330"/>
      <c r="W36" s="1330"/>
      <c r="X36" s="1330"/>
      <c r="Y36" s="1330"/>
      <c r="Z36" s="1330"/>
      <c r="AA36" s="1330"/>
      <c r="AB36" s="1330"/>
      <c r="AC36" s="24"/>
      <c r="AD36" s="1330" t="str">
        <f>IF(TITLE_DATE_CHANGE_PERIOD="",IF(TITLE_DATE_PR="","",TITLE_DATE_PR),TITLE_DATE_CHANGE_PERIOD)</f>
        <v/>
      </c>
      <c r="AE36" s="1330"/>
      <c r="AF36" s="1330"/>
      <c r="AG36" s="1330"/>
      <c r="AH36" s="1330"/>
      <c r="AI36" s="1330"/>
      <c r="AJ36" s="1330"/>
      <c r="AK36" s="1330"/>
      <c r="AL36" s="1330"/>
      <c r="AM36" s="1330"/>
      <c r="AN36" s="1330"/>
      <c r="AO36" s="1330"/>
      <c r="AP36" s="1330"/>
      <c r="AQ36" s="1330"/>
      <c r="AR36" s="1330"/>
      <c r="AS36" s="1330"/>
      <c r="AT36" s="1330"/>
      <c r="AU36" s="1330"/>
      <c r="AV36" s="1330"/>
      <c r="AW36" s="1330"/>
      <c r="AX36" s="1330"/>
      <c r="AY36" s="1330"/>
      <c r="AZ36" s="1330"/>
      <c r="BA36" s="24"/>
      <c r="BB36" s="24"/>
      <c r="BC36" s="171"/>
      <c r="BD36" s="79"/>
      <c r="BE36" s="79"/>
      <c r="BF36" s="79"/>
      <c r="BG36" s="79"/>
      <c r="BH36" s="79"/>
    </row>
    <row r="37" spans="1:60" s="44" customFormat="1" ht="18.75" hidden="1" customHeight="1">
      <c r="A37" s="91"/>
      <c r="B37" s="91"/>
      <c r="C37" s="91"/>
      <c r="D37" s="91"/>
      <c r="E37" s="91"/>
      <c r="F37" s="91"/>
      <c r="G37" s="91"/>
      <c r="H37" s="91"/>
      <c r="I37" s="91"/>
      <c r="J37" s="91"/>
      <c r="K37" s="91"/>
      <c r="L37" s="823"/>
      <c r="M37" s="91"/>
      <c r="N37" s="91"/>
      <c r="O37" s="91"/>
      <c r="P37" s="91"/>
      <c r="Q37" s="91"/>
      <c r="S37" s="1329" t="s">
        <v>1486</v>
      </c>
      <c r="T37" s="1329"/>
      <c r="U37" s="826"/>
      <c r="V37" s="1330"/>
      <c r="W37" s="1330"/>
      <c r="X37" s="1330"/>
      <c r="Y37" s="1330"/>
      <c r="Z37" s="1330"/>
      <c r="AA37" s="1330"/>
      <c r="AB37" s="1330"/>
      <c r="AC37" s="24"/>
      <c r="AD37" s="1330" t="str">
        <f>IF(TITLE_NUMBER_PR_CHANGE="",IF(TITLE_NUMBER_PR="","",TITLE_NUMBER_PR),TITLE_NUMBER_PR_CHANGE)</f>
        <v/>
      </c>
      <c r="AE37" s="1330"/>
      <c r="AF37" s="1330"/>
      <c r="AG37" s="1330"/>
      <c r="AH37" s="1330"/>
      <c r="AI37" s="1330"/>
      <c r="AJ37" s="1330"/>
      <c r="AK37" s="1330"/>
      <c r="AL37" s="1330"/>
      <c r="AM37" s="1330"/>
      <c r="AN37" s="1330"/>
      <c r="AO37" s="1330"/>
      <c r="AP37" s="1330"/>
      <c r="AQ37" s="1330"/>
      <c r="AR37" s="1330"/>
      <c r="AS37" s="1330"/>
      <c r="AT37" s="1330"/>
      <c r="AU37" s="1330"/>
      <c r="AV37" s="1330"/>
      <c r="AW37" s="1330"/>
      <c r="AX37" s="1330"/>
      <c r="AY37" s="1330"/>
      <c r="AZ37" s="1330"/>
      <c r="BA37" s="24"/>
      <c r="BB37" s="24"/>
      <c r="BC37" s="171"/>
      <c r="BD37" s="79"/>
      <c r="BE37" s="79"/>
      <c r="BF37" s="79"/>
      <c r="BG37" s="79"/>
      <c r="BH37" s="79"/>
    </row>
    <row r="38" spans="1:60" s="44" customFormat="1" ht="0" hidden="1" customHeight="1">
      <c r="A38" s="91"/>
      <c r="B38" s="91"/>
      <c r="C38" s="91"/>
      <c r="D38" s="91"/>
      <c r="E38" s="91"/>
      <c r="F38" s="91"/>
      <c r="G38" s="91"/>
      <c r="H38" s="91"/>
      <c r="I38" s="91"/>
      <c r="J38" s="91"/>
      <c r="K38" s="91"/>
      <c r="L38" s="823"/>
      <c r="M38" s="91"/>
      <c r="N38" s="91"/>
      <c r="O38" s="91"/>
      <c r="P38" s="91"/>
      <c r="Q38" s="91"/>
      <c r="S38" s="24"/>
      <c r="T38" s="24"/>
      <c r="U38" s="87"/>
      <c r="V38" s="24"/>
      <c r="W38" s="24"/>
      <c r="X38" s="24"/>
      <c r="Y38" s="24"/>
      <c r="Z38" s="24"/>
      <c r="AA38" s="24"/>
      <c r="AB38" s="24"/>
      <c r="AC38" s="77" t="s">
        <v>1489</v>
      </c>
      <c r="AD38" s="24"/>
      <c r="AE38" s="24"/>
      <c r="AF38" s="24"/>
      <c r="AG38" s="24"/>
      <c r="AH38" s="24"/>
      <c r="AI38" s="24"/>
      <c r="AJ38" s="24"/>
      <c r="AK38" s="24"/>
      <c r="AL38" s="24"/>
      <c r="AM38" s="24"/>
      <c r="AN38" s="24"/>
      <c r="AO38" s="24"/>
      <c r="AP38" s="24"/>
      <c r="AQ38" s="24"/>
      <c r="AR38" s="24"/>
      <c r="AS38" s="24"/>
      <c r="AT38" s="24"/>
      <c r="AU38" s="24"/>
      <c r="AV38" s="24"/>
      <c r="AW38" s="24"/>
      <c r="AX38" s="24"/>
      <c r="AY38" s="24"/>
      <c r="AZ38" s="24"/>
      <c r="BA38" s="77" t="s">
        <v>1489</v>
      </c>
      <c r="BD38" s="79"/>
      <c r="BE38" s="79"/>
      <c r="BF38" s="79"/>
      <c r="BG38" s="79"/>
      <c r="BH38" s="79"/>
    </row>
    <row r="39" spans="1:60" ht="14.25" customHeight="1">
      <c r="Q39" s="176"/>
      <c r="R39" s="36"/>
      <c r="S39" s="793"/>
      <c r="T39" s="25"/>
      <c r="U39" s="766"/>
      <c r="V39" s="1348"/>
      <c r="W39" s="1348"/>
      <c r="X39" s="1348"/>
      <c r="Y39" s="1348"/>
      <c r="Z39" s="1348"/>
      <c r="AA39" s="1348"/>
      <c r="AB39" s="1348"/>
      <c r="AC39" s="1348"/>
      <c r="AD39" s="1348"/>
      <c r="AE39" s="1348"/>
      <c r="AF39" s="1348"/>
      <c r="AG39" s="1348"/>
      <c r="AH39" s="1348"/>
      <c r="AI39" s="1348"/>
      <c r="AJ39" s="1348"/>
      <c r="AK39" s="1348"/>
      <c r="AL39" s="1348"/>
      <c r="AM39" s="1348"/>
      <c r="AN39" s="1348"/>
      <c r="AO39" s="1348"/>
      <c r="AP39" s="1348"/>
      <c r="AQ39" s="1348"/>
      <c r="AR39" s="1348"/>
      <c r="AS39" s="1348"/>
      <c r="AT39" s="1348"/>
      <c r="AU39" s="1348"/>
      <c r="AV39" s="1348"/>
      <c r="AW39" s="1348"/>
      <c r="AX39" s="1348"/>
      <c r="AY39" s="1348"/>
      <c r="AZ39" s="1348"/>
      <c r="BA39" s="1348"/>
    </row>
    <row r="40" spans="1:60" ht="14.25" customHeight="1">
      <c r="Q40" s="176"/>
      <c r="R40" s="36"/>
      <c r="S40" s="1123" t="s">
        <v>292</v>
      </c>
      <c r="T40" s="1123"/>
      <c r="U40" s="1123"/>
      <c r="V40" s="1123"/>
      <c r="W40" s="1123"/>
      <c r="X40" s="1123"/>
      <c r="Y40" s="1123"/>
      <c r="Z40" s="1123"/>
      <c r="AA40" s="1123"/>
      <c r="AB40" s="1123"/>
      <c r="AC40" s="1123"/>
      <c r="AD40" s="1123"/>
      <c r="AE40" s="1123"/>
      <c r="AF40" s="1123"/>
      <c r="AG40" s="1123"/>
      <c r="AH40" s="1123"/>
      <c r="AI40" s="1123"/>
      <c r="AJ40" s="1123"/>
      <c r="AK40" s="1123"/>
      <c r="AL40" s="1123"/>
      <c r="AM40" s="1123"/>
      <c r="AN40" s="1123"/>
      <c r="AO40" s="1123"/>
      <c r="AP40" s="1123"/>
      <c r="AQ40" s="1123"/>
      <c r="AR40" s="1123"/>
      <c r="AS40" s="1123"/>
      <c r="AT40" s="1123"/>
      <c r="AU40" s="1123"/>
      <c r="AV40" s="1123"/>
      <c r="AW40" s="1123"/>
      <c r="AX40" s="1123"/>
      <c r="AY40" s="1123"/>
      <c r="AZ40" s="1123"/>
      <c r="BA40" s="1123"/>
      <c r="BB40" s="1123"/>
      <c r="BC40" s="1123" t="s">
        <v>293</v>
      </c>
    </row>
    <row r="41" spans="1:60" ht="14.25" customHeight="1">
      <c r="Q41" s="176"/>
      <c r="R41" s="36"/>
      <c r="S41" s="1349" t="s">
        <v>88</v>
      </c>
      <c r="T41" s="1213" t="s">
        <v>1707</v>
      </c>
      <c r="U41" s="180"/>
      <c r="V41" s="1350" t="s">
        <v>1491</v>
      </c>
      <c r="W41" s="1351"/>
      <c r="X41" s="1351"/>
      <c r="Y41" s="1351"/>
      <c r="Z41" s="1351"/>
      <c r="AA41" s="1351"/>
      <c r="AB41" s="1352"/>
      <c r="AC41" s="1353" t="s">
        <v>1492</v>
      </c>
      <c r="AD41" s="1375" t="s">
        <v>1708</v>
      </c>
      <c r="AE41" s="1364"/>
      <c r="AF41" s="1364"/>
      <c r="AG41" s="1376"/>
      <c r="AH41" s="1375" t="s">
        <v>1709</v>
      </c>
      <c r="AI41" s="1364"/>
      <c r="AJ41" s="1364"/>
      <c r="AK41" s="1376"/>
      <c r="AL41" s="1375" t="s">
        <v>1710</v>
      </c>
      <c r="AM41" s="1364"/>
      <c r="AN41" s="1364"/>
      <c r="AO41" s="1376"/>
      <c r="AP41" s="1375" t="s">
        <v>1711</v>
      </c>
      <c r="AQ41" s="1364"/>
      <c r="AR41" s="1364"/>
      <c r="AS41" s="1376"/>
      <c r="AT41" s="1350" t="s">
        <v>1491</v>
      </c>
      <c r="AU41" s="1351"/>
      <c r="AV41" s="1351"/>
      <c r="AW41" s="1351"/>
      <c r="AX41" s="1351"/>
      <c r="AY41" s="1351"/>
      <c r="AZ41" s="1352"/>
      <c r="BA41" s="1353" t="s">
        <v>1492</v>
      </c>
      <c r="BB41" s="1356" t="s">
        <v>1494</v>
      </c>
      <c r="BC41" s="1123"/>
    </row>
    <row r="42" spans="1:60" ht="33.75" customHeight="1">
      <c r="Q42" s="176"/>
      <c r="R42" s="36"/>
      <c r="S42" s="1349"/>
      <c r="T42" s="1213"/>
      <c r="U42" s="647"/>
      <c r="V42" s="1183" t="s">
        <v>1712</v>
      </c>
      <c r="W42" s="1184"/>
      <c r="X42" s="1183" t="s">
        <v>1713</v>
      </c>
      <c r="Y42" s="1184"/>
      <c r="Z42" s="1183" t="s">
        <v>1714</v>
      </c>
      <c r="AA42" s="1369"/>
      <c r="AB42" s="1184"/>
      <c r="AC42" s="1354"/>
      <c r="AD42" s="1377"/>
      <c r="AE42" s="1378"/>
      <c r="AF42" s="1378"/>
      <c r="AG42" s="1379"/>
      <c r="AH42" s="1377"/>
      <c r="AI42" s="1378"/>
      <c r="AJ42" s="1378"/>
      <c r="AK42" s="1379"/>
      <c r="AL42" s="1377"/>
      <c r="AM42" s="1378"/>
      <c r="AN42" s="1378"/>
      <c r="AO42" s="1379"/>
      <c r="AP42" s="1377"/>
      <c r="AQ42" s="1378"/>
      <c r="AR42" s="1378"/>
      <c r="AS42" s="1379"/>
      <c r="AT42" s="1183" t="s">
        <v>1712</v>
      </c>
      <c r="AU42" s="1184"/>
      <c r="AV42" s="1183" t="s">
        <v>1713</v>
      </c>
      <c r="AW42" s="1184"/>
      <c r="AX42" s="1183" t="s">
        <v>1714</v>
      </c>
      <c r="AY42" s="1369"/>
      <c r="AZ42" s="1184"/>
      <c r="BA42" s="1354"/>
      <c r="BB42" s="1357"/>
      <c r="BC42" s="1123"/>
    </row>
    <row r="43" spans="1:60" ht="14.25" customHeight="1">
      <c r="Q43" s="176"/>
      <c r="R43" s="36"/>
      <c r="S43" s="1349"/>
      <c r="T43" s="1213"/>
      <c r="U43" s="647"/>
      <c r="V43" s="1188"/>
      <c r="W43" s="1189"/>
      <c r="X43" s="1188"/>
      <c r="Y43" s="1189"/>
      <c r="Z43" s="1188"/>
      <c r="AA43" s="1370"/>
      <c r="AB43" s="1189"/>
      <c r="AC43" s="1354"/>
      <c r="AD43" s="1377"/>
      <c r="AE43" s="1378"/>
      <c r="AF43" s="1378"/>
      <c r="AG43" s="1379"/>
      <c r="AH43" s="1377"/>
      <c r="AI43" s="1378"/>
      <c r="AJ43" s="1378"/>
      <c r="AK43" s="1379"/>
      <c r="AL43" s="1377"/>
      <c r="AM43" s="1378"/>
      <c r="AN43" s="1378"/>
      <c r="AO43" s="1379"/>
      <c r="AP43" s="1377"/>
      <c r="AQ43" s="1378"/>
      <c r="AR43" s="1378"/>
      <c r="AS43" s="1379"/>
      <c r="AT43" s="1188"/>
      <c r="AU43" s="1189"/>
      <c r="AV43" s="1188"/>
      <c r="AW43" s="1189"/>
      <c r="AX43" s="1188"/>
      <c r="AY43" s="1370"/>
      <c r="AZ43" s="1189"/>
      <c r="BA43" s="1354"/>
      <c r="BB43" s="1357"/>
      <c r="BC43" s="1123"/>
    </row>
    <row r="44" spans="1:60" ht="14.25" customHeight="1">
      <c r="A44" s="91"/>
      <c r="B44" s="91" t="s">
        <v>136</v>
      </c>
      <c r="C44" s="91" t="s">
        <v>137</v>
      </c>
      <c r="D44" s="91" t="s">
        <v>138</v>
      </c>
      <c r="E44" s="823" t="s">
        <v>1499</v>
      </c>
      <c r="F44" s="823" t="s">
        <v>1500</v>
      </c>
      <c r="G44" s="823" t="s">
        <v>1501</v>
      </c>
      <c r="H44" s="823" t="s">
        <v>1502</v>
      </c>
      <c r="I44" s="823" t="s">
        <v>1503</v>
      </c>
      <c r="J44" s="823" t="s">
        <v>1504</v>
      </c>
      <c r="K44" s="823" t="s">
        <v>1505</v>
      </c>
      <c r="L44" s="823" t="s">
        <v>1480</v>
      </c>
      <c r="Q44" s="176"/>
      <c r="R44" s="36"/>
      <c r="S44" s="1349"/>
      <c r="T44" s="1213"/>
      <c r="U44" s="181"/>
      <c r="V44" s="45" t="s">
        <v>1551</v>
      </c>
      <c r="W44" s="45" t="s">
        <v>1552</v>
      </c>
      <c r="X44" s="45" t="s">
        <v>1551</v>
      </c>
      <c r="Y44" s="45" t="s">
        <v>1552</v>
      </c>
      <c r="Z44" s="48" t="s">
        <v>1508</v>
      </c>
      <c r="AA44" s="1219" t="s">
        <v>1509</v>
      </c>
      <c r="AB44" s="1233"/>
      <c r="AC44" s="1355"/>
      <c r="AD44" s="1380"/>
      <c r="AE44" s="1381"/>
      <c r="AF44" s="1381"/>
      <c r="AG44" s="1382"/>
      <c r="AH44" s="1380"/>
      <c r="AI44" s="1381"/>
      <c r="AJ44" s="1381"/>
      <c r="AK44" s="1382"/>
      <c r="AL44" s="1380"/>
      <c r="AM44" s="1381"/>
      <c r="AN44" s="1381"/>
      <c r="AO44" s="1382"/>
      <c r="AP44" s="1380"/>
      <c r="AQ44" s="1381"/>
      <c r="AR44" s="1381"/>
      <c r="AS44" s="1382"/>
      <c r="AT44" s="45" t="s">
        <v>1551</v>
      </c>
      <c r="AU44" s="45" t="s">
        <v>1552</v>
      </c>
      <c r="AV44" s="45" t="s">
        <v>1551</v>
      </c>
      <c r="AW44" s="45" t="s">
        <v>1552</v>
      </c>
      <c r="AX44" s="48" t="s">
        <v>1508</v>
      </c>
      <c r="AY44" s="1219" t="s">
        <v>1509</v>
      </c>
      <c r="AZ44" s="1233"/>
      <c r="BA44" s="1355"/>
      <c r="BB44" s="1358"/>
      <c r="BC44" s="1123"/>
    </row>
    <row r="45" spans="1:60" s="216" customFormat="1" ht="11.25" hidden="1" customHeight="1">
      <c r="A45" s="91"/>
      <c r="B45" s="91"/>
      <c r="C45" s="91"/>
      <c r="D45" s="91"/>
      <c r="E45" s="91"/>
      <c r="F45" s="91"/>
      <c r="G45" s="91"/>
      <c r="H45" s="91"/>
      <c r="I45" s="91"/>
      <c r="J45" s="91"/>
      <c r="K45" s="91"/>
      <c r="L45" s="823"/>
      <c r="M45" s="541"/>
      <c r="N45" s="541"/>
      <c r="O45" s="541"/>
      <c r="P45" s="235"/>
      <c r="Q45" s="777"/>
      <c r="R45" s="777">
        <v>1</v>
      </c>
      <c r="S45" s="795" t="s">
        <v>109</v>
      </c>
      <c r="T45" s="778" t="s">
        <v>110</v>
      </c>
      <c r="U45" s="767" t="str">
        <f ca="1">OFFSET(U45,0,-1)</f>
        <v>2</v>
      </c>
      <c r="V45" s="779">
        <f t="shared" ref="V45:AA45" ca="1" si="2">OFFSET(V45,0,-1)+1</f>
        <v>3</v>
      </c>
      <c r="W45" s="779">
        <f t="shared" ca="1" si="2"/>
        <v>4</v>
      </c>
      <c r="X45" s="779">
        <f t="shared" ca="1" si="2"/>
        <v>5</v>
      </c>
      <c r="Y45" s="779">
        <f t="shared" ca="1" si="2"/>
        <v>6</v>
      </c>
      <c r="Z45" s="779">
        <f t="shared" ca="1" si="2"/>
        <v>7</v>
      </c>
      <c r="AA45" s="1347">
        <f t="shared" ca="1" si="2"/>
        <v>8</v>
      </c>
      <c r="AB45" s="1347"/>
      <c r="AC45" s="779">
        <f ca="1">OFFSET(AC45,0,-2)+1</f>
        <v>9</v>
      </c>
      <c r="AD45" s="779">
        <f ca="1">OFFSET(AD45,0,-1)+1</f>
        <v>10</v>
      </c>
      <c r="AE45" s="779"/>
      <c r="AF45" s="779"/>
      <c r="AG45" s="779"/>
      <c r="AH45" s="779"/>
      <c r="AI45" s="779"/>
      <c r="AJ45" s="779"/>
      <c r="AK45" s="779"/>
      <c r="AL45" s="779"/>
      <c r="AM45" s="779"/>
      <c r="AN45" s="779"/>
      <c r="AO45" s="779"/>
      <c r="AP45" s="779"/>
      <c r="AQ45" s="779"/>
      <c r="AR45" s="779"/>
      <c r="AS45" s="779"/>
      <c r="AT45" s="779"/>
      <c r="AU45" s="779"/>
      <c r="AV45" s="779"/>
      <c r="AW45" s="779">
        <f ca="1">OFFSET(AW45,0,-1)+1</f>
        <v>1</v>
      </c>
      <c r="AX45" s="779">
        <f ca="1">OFFSET(AX45,0,-1)+1</f>
        <v>2</v>
      </c>
      <c r="AY45" s="1347">
        <f ca="1">OFFSET(AY45,0,-1)+1</f>
        <v>3</v>
      </c>
      <c r="AZ45" s="1347"/>
      <c r="BA45" s="779">
        <f ca="1">OFFSET(BA45,0,-2)+1</f>
        <v>4</v>
      </c>
      <c r="BB45" s="767">
        <f ca="1">OFFSET(BB45,0,-1)</f>
        <v>4</v>
      </c>
      <c r="BC45" s="779">
        <f ca="1">OFFSET(BC45,0,-1)+1</f>
        <v>5</v>
      </c>
      <c r="BD45" s="77"/>
      <c r="BE45" s="77"/>
      <c r="BF45" s="77"/>
      <c r="BG45" s="77"/>
      <c r="BH45" s="77"/>
    </row>
    <row r="46" spans="1:60" ht="21" customHeight="1">
      <c r="A46" s="822" t="s">
        <v>238</v>
      </c>
      <c r="B46" s="822"/>
      <c r="C46" s="822"/>
      <c r="D46" s="822"/>
      <c r="E46" s="1337">
        <v>1</v>
      </c>
      <c r="F46" s="822"/>
      <c r="G46" s="822"/>
      <c r="H46" s="822"/>
      <c r="I46" s="822"/>
      <c r="J46" s="822"/>
      <c r="K46" s="822"/>
      <c r="L46" s="823"/>
      <c r="M46" s="452"/>
      <c r="N46" s="452"/>
      <c r="O46" s="452"/>
      <c r="Q46" s="71"/>
      <c r="R46" s="220"/>
      <c r="S46" s="755">
        <f>INDEX(PT_DIFFERENTIATION_NUM_NTAR,MATCH(A46,PT_DIFFERENTIATION_NTAR_ID,0))</f>
        <v>0</v>
      </c>
      <c r="T46" s="76" t="s">
        <v>124</v>
      </c>
      <c r="U46" s="179"/>
      <c r="V46" s="1332"/>
      <c r="W46" s="1332"/>
      <c r="X46" s="1332"/>
      <c r="Y46" s="1332"/>
      <c r="Z46" s="1332"/>
      <c r="AA46" s="1332"/>
      <c r="AB46" s="1332"/>
      <c r="AC46" s="1333"/>
      <c r="AD46" s="1331" t="str">
        <f>INDEX(PT_DIFFERENTIATION_NTAR,MATCH(A46,PT_DIFFERENTIATION_NTAR_ID,0))</f>
        <v/>
      </c>
      <c r="AE46" s="1332"/>
      <c r="AF46" s="1332"/>
      <c r="AG46" s="1332"/>
      <c r="AH46" s="1332"/>
      <c r="AI46" s="1332"/>
      <c r="AJ46" s="1332"/>
      <c r="AK46" s="1332"/>
      <c r="AL46" s="1332"/>
      <c r="AM46" s="1332"/>
      <c r="AN46" s="1332"/>
      <c r="AO46" s="1332"/>
      <c r="AP46" s="1332"/>
      <c r="AQ46" s="1332"/>
      <c r="AR46" s="1332"/>
      <c r="AS46" s="1332"/>
      <c r="AT46" s="1332"/>
      <c r="AU46" s="1332"/>
      <c r="AV46" s="1332"/>
      <c r="AW46" s="1332"/>
      <c r="AX46" s="1332"/>
      <c r="AY46" s="1332"/>
      <c r="AZ46" s="1332"/>
      <c r="BA46" s="1332"/>
      <c r="BB46" s="1333"/>
      <c r="BC46" s="7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79"/>
      <c r="BF46" s="79" t="str">
        <f t="shared" ref="BF46:BF52" si="3">IF(T46="","",T46)</f>
        <v>Наименование тарифа</v>
      </c>
      <c r="BG46" s="79"/>
      <c r="BH46" s="79"/>
    </row>
    <row r="47" spans="1:60" ht="21" customHeight="1">
      <c r="A47" s="822" t="s">
        <v>238</v>
      </c>
      <c r="B47" s="822" t="s">
        <v>239</v>
      </c>
      <c r="C47" s="822"/>
      <c r="D47" s="822"/>
      <c r="E47" s="1338"/>
      <c r="F47" s="1337">
        <v>1</v>
      </c>
      <c r="G47" s="822"/>
      <c r="H47" s="822"/>
      <c r="I47" s="822"/>
      <c r="J47" s="822"/>
      <c r="K47" s="822"/>
      <c r="L47" s="823"/>
      <c r="M47" s="452"/>
      <c r="N47" s="452"/>
      <c r="O47" s="452"/>
      <c r="P47" s="388"/>
      <c r="Q47" s="845"/>
      <c r="R47" s="218"/>
      <c r="S47" s="755" t="str">
        <f>INDEX(PT_DIFFERENTIATION_NUM_TER,MATCH(B47,PT_DIFFERENTIATION_TER_ID,0))</f>
        <v>.</v>
      </c>
      <c r="T47" s="187" t="s">
        <v>1462</v>
      </c>
      <c r="U47" s="179"/>
      <c r="V47" s="1332"/>
      <c r="W47" s="1332"/>
      <c r="X47" s="1332"/>
      <c r="Y47" s="1332"/>
      <c r="Z47" s="1332"/>
      <c r="AA47" s="1332"/>
      <c r="AB47" s="1332"/>
      <c r="AC47" s="1333"/>
      <c r="AD47" s="1331" t="str">
        <f>INDEX(PT_DIFFERENTIATION_TER,MATCH(B47,PT_DIFFERENTIATION_TER_ID,0))</f>
        <v/>
      </c>
      <c r="AE47" s="1332"/>
      <c r="AF47" s="1332"/>
      <c r="AG47" s="1332"/>
      <c r="AH47" s="1332"/>
      <c r="AI47" s="1332"/>
      <c r="AJ47" s="1332"/>
      <c r="AK47" s="1332"/>
      <c r="AL47" s="1332"/>
      <c r="AM47" s="1332"/>
      <c r="AN47" s="1332"/>
      <c r="AO47" s="1332"/>
      <c r="AP47" s="1332"/>
      <c r="AQ47" s="1332"/>
      <c r="AR47" s="1332"/>
      <c r="AS47" s="1332"/>
      <c r="AT47" s="1332"/>
      <c r="AU47" s="1332"/>
      <c r="AV47" s="1332"/>
      <c r="AW47" s="1332"/>
      <c r="AX47" s="1332"/>
      <c r="AY47" s="1332"/>
      <c r="AZ47" s="1332"/>
      <c r="BA47" s="1332"/>
      <c r="BB47" s="1333"/>
      <c r="BC47" s="782" t="s">
        <v>1463</v>
      </c>
      <c r="BE47" s="79"/>
      <c r="BF47" s="79" t="str">
        <f t="shared" si="3"/>
        <v>Территория действия тарифа</v>
      </c>
      <c r="BG47" s="79"/>
      <c r="BH47" s="79"/>
    </row>
    <row r="48" spans="1:60" ht="42" customHeight="1">
      <c r="A48" s="822" t="s">
        <v>238</v>
      </c>
      <c r="B48" s="822" t="s">
        <v>239</v>
      </c>
      <c r="C48" s="822" t="s">
        <v>240</v>
      </c>
      <c r="D48" s="822"/>
      <c r="E48" s="1338"/>
      <c r="F48" s="1338"/>
      <c r="G48" s="1337">
        <v>1</v>
      </c>
      <c r="H48" s="822"/>
      <c r="I48" s="822"/>
      <c r="J48" s="822"/>
      <c r="K48" s="822"/>
      <c r="L48" s="823"/>
      <c r="M48" s="452"/>
      <c r="N48" s="452"/>
      <c r="O48" s="452"/>
      <c r="P48" s="136"/>
      <c r="Q48" s="845"/>
      <c r="R48" s="218"/>
      <c r="S48" s="755" t="str">
        <f>INDEX(PT_DIFFERENTIATION_NUM_CS,MATCH(C48,PT_DIFFERENTIATION_CS_ID,0))</f>
        <v>..</v>
      </c>
      <c r="T48" s="188" t="s">
        <v>1681</v>
      </c>
      <c r="U48" s="179"/>
      <c r="V48" s="1332"/>
      <c r="W48" s="1332"/>
      <c r="X48" s="1332"/>
      <c r="Y48" s="1332"/>
      <c r="Z48" s="1332"/>
      <c r="AA48" s="1332"/>
      <c r="AB48" s="1332"/>
      <c r="AC48" s="1333"/>
      <c r="AD48" s="1331" t="str">
        <f>INDEX(PT_DIFFERENTIATION_CS,MATCH(C48,PT_DIFFERENTIATION_CS_ID,0))</f>
        <v/>
      </c>
      <c r="AE48" s="1332"/>
      <c r="AF48" s="1332"/>
      <c r="AG48" s="1332"/>
      <c r="AH48" s="1332"/>
      <c r="AI48" s="1332"/>
      <c r="AJ48" s="1332"/>
      <c r="AK48" s="1332"/>
      <c r="AL48" s="1332"/>
      <c r="AM48" s="1332"/>
      <c r="AN48" s="1332"/>
      <c r="AO48" s="1332"/>
      <c r="AP48" s="1332"/>
      <c r="AQ48" s="1332"/>
      <c r="AR48" s="1332"/>
      <c r="AS48" s="1332"/>
      <c r="AT48" s="1332"/>
      <c r="AU48" s="1332"/>
      <c r="AV48" s="1332"/>
      <c r="AW48" s="1332"/>
      <c r="AX48" s="1332"/>
      <c r="AY48" s="1332"/>
      <c r="AZ48" s="1332"/>
      <c r="BA48" s="1332"/>
      <c r="BB48" s="1333"/>
      <c r="BC48" s="782" t="s">
        <v>1682</v>
      </c>
      <c r="BE48" s="79"/>
      <c r="BF48" s="79" t="str">
        <f t="shared" si="3"/>
        <v>Наименование централизованной системы холодного водоснабжения</v>
      </c>
      <c r="BG48" s="79"/>
      <c r="BH48" s="79"/>
    </row>
    <row r="49" spans="1:60" s="77" customFormat="1" ht="0" hidden="1" customHeight="1">
      <c r="A49" s="150" t="s">
        <v>238</v>
      </c>
      <c r="B49" s="150" t="s">
        <v>239</v>
      </c>
      <c r="C49" s="150" t="s">
        <v>240</v>
      </c>
      <c r="D49" s="150" t="s">
        <v>1715</v>
      </c>
      <c r="E49" s="1338"/>
      <c r="F49" s="1338"/>
      <c r="G49" s="1338"/>
      <c r="H49" s="1337">
        <v>1</v>
      </c>
      <c r="I49" s="150"/>
      <c r="J49" s="150"/>
      <c r="K49" s="150"/>
      <c r="L49" s="373"/>
      <c r="M49" s="318"/>
      <c r="N49" s="318"/>
      <c r="O49" s="318"/>
      <c r="P49" s="858"/>
      <c r="Q49" s="859"/>
      <c r="R49" s="222"/>
      <c r="S49" s="389"/>
      <c r="T49" s="860"/>
      <c r="U49" s="832"/>
      <c r="V49" s="1366"/>
      <c r="W49" s="1366"/>
      <c r="X49" s="1366"/>
      <c r="Y49" s="1366"/>
      <c r="Z49" s="1366"/>
      <c r="AA49" s="1366"/>
      <c r="AB49" s="1366"/>
      <c r="AC49" s="1367"/>
      <c r="AD49" s="1365"/>
      <c r="AE49" s="1366"/>
      <c r="AF49" s="1366"/>
      <c r="AG49" s="1366"/>
      <c r="AH49" s="1366"/>
      <c r="AI49" s="1366"/>
      <c r="AJ49" s="1366"/>
      <c r="AK49" s="1366"/>
      <c r="AL49" s="1366"/>
      <c r="AM49" s="1366"/>
      <c r="AN49" s="1366"/>
      <c r="AO49" s="1366"/>
      <c r="AP49" s="1366"/>
      <c r="AQ49" s="1366"/>
      <c r="AR49" s="1366"/>
      <c r="AS49" s="1366"/>
      <c r="AT49" s="1366"/>
      <c r="AU49" s="1366"/>
      <c r="AV49" s="1366"/>
      <c r="AW49" s="1366"/>
      <c r="AX49" s="1366"/>
      <c r="AY49" s="1366"/>
      <c r="AZ49" s="1366"/>
      <c r="BA49" s="1366"/>
      <c r="BB49" s="1367"/>
      <c r="BC49" s="833" t="s">
        <v>1467</v>
      </c>
      <c r="BE49" s="79"/>
      <c r="BF49" s="79" t="str">
        <f t="shared" si="3"/>
        <v/>
      </c>
      <c r="BG49" s="79"/>
      <c r="BH49" s="79"/>
    </row>
    <row r="50" spans="1:60" s="77" customFormat="1" ht="0" hidden="1" customHeight="1">
      <c r="A50" s="150" t="s">
        <v>238</v>
      </c>
      <c r="B50" s="150" t="s">
        <v>239</v>
      </c>
      <c r="C50" s="150" t="s">
        <v>240</v>
      </c>
      <c r="D50" s="150" t="s">
        <v>1715</v>
      </c>
      <c r="E50" s="1338"/>
      <c r="F50" s="1338"/>
      <c r="G50" s="1338"/>
      <c r="H50" s="1338"/>
      <c r="I50" s="1339" t="str">
        <f>S49&amp;".1"</f>
        <v>.1</v>
      </c>
      <c r="J50" s="150"/>
      <c r="K50" s="150"/>
      <c r="L50" s="373" t="s">
        <v>1468</v>
      </c>
      <c r="M50" s="235"/>
      <c r="N50" s="235"/>
      <c r="O50" s="235"/>
      <c r="P50" s="1259">
        <v>1</v>
      </c>
      <c r="Q50" s="127"/>
      <c r="R50" s="221"/>
      <c r="S50" s="389"/>
      <c r="T50" s="831"/>
      <c r="U50" s="832"/>
      <c r="V50" s="1366"/>
      <c r="W50" s="1366"/>
      <c r="X50" s="1366"/>
      <c r="Y50" s="1366"/>
      <c r="Z50" s="1366"/>
      <c r="AA50" s="1366"/>
      <c r="AB50" s="1366"/>
      <c r="AC50" s="1367"/>
      <c r="AD50" s="1365"/>
      <c r="AE50" s="1366"/>
      <c r="AF50" s="1366"/>
      <c r="AG50" s="1366"/>
      <c r="AH50" s="1366"/>
      <c r="AI50" s="1366"/>
      <c r="AJ50" s="1366"/>
      <c r="AK50" s="1366"/>
      <c r="AL50" s="1366"/>
      <c r="AM50" s="1366"/>
      <c r="AN50" s="1366"/>
      <c r="AO50" s="1366"/>
      <c r="AP50" s="1366"/>
      <c r="AQ50" s="1366"/>
      <c r="AR50" s="1366"/>
      <c r="AS50" s="1366"/>
      <c r="AT50" s="1366"/>
      <c r="AU50" s="1366"/>
      <c r="AV50" s="1366"/>
      <c r="AW50" s="1366"/>
      <c r="AX50" s="1366"/>
      <c r="AY50" s="1366"/>
      <c r="AZ50" s="1366"/>
      <c r="BA50" s="1366"/>
      <c r="BB50" s="1367"/>
      <c r="BC50" s="833"/>
      <c r="BE50" s="79"/>
      <c r="BF50" s="79" t="str">
        <f t="shared" si="3"/>
        <v/>
      </c>
      <c r="BG50" s="79"/>
      <c r="BH50" s="79"/>
    </row>
    <row r="51" spans="1:60" s="77" customFormat="1" ht="0" hidden="1" customHeight="1">
      <c r="A51" s="150" t="s">
        <v>238</v>
      </c>
      <c r="B51" s="150" t="s">
        <v>239</v>
      </c>
      <c r="C51" s="150" t="s">
        <v>240</v>
      </c>
      <c r="D51" s="150" t="s">
        <v>1715</v>
      </c>
      <c r="E51" s="1338"/>
      <c r="F51" s="1338"/>
      <c r="G51" s="1338"/>
      <c r="H51" s="1338"/>
      <c r="I51" s="1340"/>
      <c r="J51" s="1339" t="str">
        <f>S49&amp;".1"</f>
        <v>.1</v>
      </c>
      <c r="K51" s="150"/>
      <c r="L51" s="373"/>
      <c r="M51" s="235"/>
      <c r="N51" s="235"/>
      <c r="O51" s="235"/>
      <c r="P51" s="1259"/>
      <c r="Q51" s="1259">
        <v>1</v>
      </c>
      <c r="R51" s="222"/>
      <c r="S51" s="389"/>
      <c r="T51" s="840"/>
      <c r="U51" s="832"/>
      <c r="V51" s="1366"/>
      <c r="W51" s="1366"/>
      <c r="X51" s="1366"/>
      <c r="Y51" s="1366"/>
      <c r="Z51" s="1366"/>
      <c r="AA51" s="1366"/>
      <c r="AB51" s="1366"/>
      <c r="AC51" s="1367"/>
      <c r="AD51" s="1365"/>
      <c r="AE51" s="1366"/>
      <c r="AF51" s="1366"/>
      <c r="AG51" s="1366"/>
      <c r="AH51" s="1366"/>
      <c r="AI51" s="1366"/>
      <c r="AJ51" s="1366"/>
      <c r="AK51" s="1366"/>
      <c r="AL51" s="1366"/>
      <c r="AM51" s="1366"/>
      <c r="AN51" s="1444"/>
      <c r="AO51" s="1444"/>
      <c r="AP51" s="1366"/>
      <c r="AQ51" s="1366"/>
      <c r="AR51" s="1366"/>
      <c r="AS51" s="1366"/>
      <c r="AT51" s="1366"/>
      <c r="AU51" s="1366"/>
      <c r="AV51" s="1366"/>
      <c r="AW51" s="1366"/>
      <c r="AX51" s="1366"/>
      <c r="AY51" s="1366"/>
      <c r="AZ51" s="1366"/>
      <c r="BA51" s="1366"/>
      <c r="BB51" s="1367"/>
      <c r="BC51" s="833"/>
      <c r="BE51" s="79"/>
      <c r="BF51" s="79" t="str">
        <f t="shared" si="3"/>
        <v/>
      </c>
      <c r="BG51" s="79"/>
      <c r="BH51" s="79"/>
    </row>
    <row r="52" spans="1:60" ht="11.25" customHeight="1">
      <c r="A52" s="822" t="s">
        <v>238</v>
      </c>
      <c r="B52" s="822" t="s">
        <v>239</v>
      </c>
      <c r="C52" s="822" t="s">
        <v>240</v>
      </c>
      <c r="D52" s="822" t="s">
        <v>1715</v>
      </c>
      <c r="E52" s="1338"/>
      <c r="F52" s="1338"/>
      <c r="G52" s="1338"/>
      <c r="H52" s="1338"/>
      <c r="I52" s="1340"/>
      <c r="J52" s="1340"/>
      <c r="K52" s="1339" t="str">
        <f>S48&amp;".1"</f>
        <v>...1</v>
      </c>
      <c r="L52" s="823"/>
      <c r="P52" s="1259"/>
      <c r="Q52" s="1259"/>
      <c r="R52" s="222">
        <v>1</v>
      </c>
      <c r="S52" s="1388" t="str">
        <f>$K52</f>
        <v>...1</v>
      </c>
      <c r="T52" s="1438"/>
      <c r="U52" s="179"/>
      <c r="V52" s="1054"/>
      <c r="W52" s="1056"/>
      <c r="X52" s="1054"/>
      <c r="Y52" s="1056"/>
      <c r="Z52" s="990"/>
      <c r="AA52" s="322" t="s">
        <v>67</v>
      </c>
      <c r="AB52" s="990"/>
      <c r="AC52" s="322" t="s">
        <v>67</v>
      </c>
      <c r="AD52" s="1195" t="s">
        <v>67</v>
      </c>
      <c r="AE52" s="1384"/>
      <c r="AF52" s="1383">
        <v>1</v>
      </c>
      <c r="AG52" s="1437"/>
      <c r="AH52" s="1133" t="s">
        <v>67</v>
      </c>
      <c r="AI52" s="1384"/>
      <c r="AJ52" s="1383">
        <v>1</v>
      </c>
      <c r="AK52" s="1436" t="s">
        <v>17</v>
      </c>
      <c r="AL52" s="1133" t="s">
        <v>67</v>
      </c>
      <c r="AM52" s="1183"/>
      <c r="AN52" s="1383">
        <v>1</v>
      </c>
      <c r="AO52" s="1441"/>
      <c r="AP52" s="1442" t="s">
        <v>67</v>
      </c>
      <c r="AQ52" s="190"/>
      <c r="AR52" s="820">
        <v>1</v>
      </c>
      <c r="AS52" s="165" t="s">
        <v>17</v>
      </c>
      <c r="AT52" s="1054"/>
      <c r="AU52" s="1056"/>
      <c r="AV52" s="1054"/>
      <c r="AW52" s="1056"/>
      <c r="AX52" s="990"/>
      <c r="AY52" s="322" t="s">
        <v>67</v>
      </c>
      <c r="AZ52" s="990"/>
      <c r="BA52" s="322" t="s">
        <v>67</v>
      </c>
      <c r="BB52" s="1060"/>
      <c r="BC52" s="1359" t="s">
        <v>1701</v>
      </c>
      <c r="BE52" s="79"/>
      <c r="BF52" s="79" t="str">
        <f t="shared" si="3"/>
        <v/>
      </c>
      <c r="BG52" s="79"/>
      <c r="BH52" s="79"/>
    </row>
    <row r="53" spans="1:60" ht="11.25" customHeight="1">
      <c r="A53" s="822"/>
      <c r="B53" s="822"/>
      <c r="C53" s="822"/>
      <c r="D53" s="822"/>
      <c r="E53" s="1338"/>
      <c r="F53" s="1338"/>
      <c r="G53" s="1338"/>
      <c r="H53" s="1338"/>
      <c r="I53" s="1340"/>
      <c r="J53" s="1340"/>
      <c r="K53" s="1339"/>
      <c r="L53" s="823"/>
      <c r="P53" s="1259"/>
      <c r="Q53" s="1259"/>
      <c r="R53" s="222"/>
      <c r="S53" s="1389"/>
      <c r="T53" s="1439"/>
      <c r="U53" s="179"/>
      <c r="V53" s="1067"/>
      <c r="W53" s="1071"/>
      <c r="X53" s="1067"/>
      <c r="Y53" s="1071"/>
      <c r="Z53" s="1067"/>
      <c r="AA53" s="1067"/>
      <c r="AB53" s="1067"/>
      <c r="AC53" s="1067"/>
      <c r="AD53" s="1196"/>
      <c r="AE53" s="1384"/>
      <c r="AF53" s="1383"/>
      <c r="AG53" s="1437"/>
      <c r="AH53" s="1133"/>
      <c r="AI53" s="1384"/>
      <c r="AJ53" s="1383"/>
      <c r="AK53" s="1436"/>
      <c r="AL53" s="1133"/>
      <c r="AM53" s="1188"/>
      <c r="AN53" s="1383"/>
      <c r="AO53" s="1441"/>
      <c r="AP53" s="1443"/>
      <c r="AQ53" s="195"/>
      <c r="AR53" s="62"/>
      <c r="AS53" s="62" t="s">
        <v>1702</v>
      </c>
      <c r="AT53" s="1067"/>
      <c r="AU53" s="1071"/>
      <c r="AV53" s="1067"/>
      <c r="AW53" s="1071"/>
      <c r="AX53" s="1067"/>
      <c r="AY53" s="1067"/>
      <c r="AZ53" s="1067"/>
      <c r="BA53" s="1067"/>
      <c r="BB53" s="1070"/>
      <c r="BC53" s="1360"/>
      <c r="BE53" s="79"/>
      <c r="BF53" s="79"/>
      <c r="BG53" s="79"/>
      <c r="BH53" s="79"/>
    </row>
    <row r="54" spans="1:60" ht="11.25" customHeight="1">
      <c r="A54" s="822" t="s">
        <v>238</v>
      </c>
      <c r="B54" s="822"/>
      <c r="C54" s="822"/>
      <c r="D54" s="822"/>
      <c r="E54" s="1338"/>
      <c r="F54" s="1338"/>
      <c r="G54" s="1338"/>
      <c r="H54" s="1338"/>
      <c r="I54" s="1340"/>
      <c r="J54" s="1340"/>
      <c r="K54" s="1339"/>
      <c r="L54" s="823"/>
      <c r="P54" s="1259"/>
      <c r="Q54" s="1259"/>
      <c r="R54" s="222"/>
      <c r="S54" s="1389"/>
      <c r="T54" s="1439"/>
      <c r="U54" s="179"/>
      <c r="V54" s="1067"/>
      <c r="W54" s="1071"/>
      <c r="X54" s="1067"/>
      <c r="Y54" s="1071"/>
      <c r="Z54" s="1067"/>
      <c r="AA54" s="1067"/>
      <c r="AB54" s="1067"/>
      <c r="AC54" s="1067"/>
      <c r="AD54" s="1196"/>
      <c r="AE54" s="1384"/>
      <c r="AF54" s="1383"/>
      <c r="AG54" s="1437"/>
      <c r="AH54" s="1133"/>
      <c r="AI54" s="1384"/>
      <c r="AJ54" s="1383"/>
      <c r="AK54" s="1436"/>
      <c r="AL54" s="1133"/>
      <c r="AM54" s="195"/>
      <c r="AN54" s="861"/>
      <c r="AO54" s="861" t="s">
        <v>1703</v>
      </c>
      <c r="AP54" s="62"/>
      <c r="AQ54" s="62"/>
      <c r="AR54" s="62"/>
      <c r="AS54" s="1067"/>
      <c r="AT54" s="1067"/>
      <c r="AU54" s="1071"/>
      <c r="AV54" s="1067"/>
      <c r="AW54" s="1071"/>
      <c r="AX54" s="1067"/>
      <c r="AY54" s="1067"/>
      <c r="AZ54" s="1067"/>
      <c r="BA54" s="1067"/>
      <c r="BB54" s="1070"/>
      <c r="BC54" s="1360"/>
      <c r="BE54" s="79"/>
      <c r="BF54" s="79"/>
      <c r="BG54" s="79"/>
      <c r="BH54" s="79"/>
    </row>
    <row r="55" spans="1:60" ht="11.25" customHeight="1">
      <c r="A55" s="822" t="s">
        <v>238</v>
      </c>
      <c r="B55" s="822"/>
      <c r="C55" s="822"/>
      <c r="D55" s="822"/>
      <c r="E55" s="1338"/>
      <c r="F55" s="1338"/>
      <c r="G55" s="1338"/>
      <c r="H55" s="1338"/>
      <c r="I55" s="1340"/>
      <c r="J55" s="1340"/>
      <c r="K55" s="1339"/>
      <c r="L55" s="823"/>
      <c r="P55" s="1259"/>
      <c r="Q55" s="1259"/>
      <c r="R55" s="222"/>
      <c r="S55" s="1389"/>
      <c r="T55" s="1439"/>
      <c r="U55" s="179"/>
      <c r="V55" s="1067"/>
      <c r="W55" s="1071"/>
      <c r="X55" s="1067"/>
      <c r="Y55" s="1071"/>
      <c r="Z55" s="1067"/>
      <c r="AA55" s="1067"/>
      <c r="AB55" s="1067"/>
      <c r="AC55" s="1067"/>
      <c r="AD55" s="1196"/>
      <c r="AE55" s="1384"/>
      <c r="AF55" s="1383"/>
      <c r="AG55" s="1437"/>
      <c r="AH55" s="1133"/>
      <c r="AI55" s="177"/>
      <c r="AJ55" s="116"/>
      <c r="AK55" s="192" t="s">
        <v>1704</v>
      </c>
      <c r="AL55" s="1067"/>
      <c r="AM55" s="1067"/>
      <c r="AN55" s="1067"/>
      <c r="AO55" s="1067"/>
      <c r="AP55" s="1067"/>
      <c r="AQ55" s="1067"/>
      <c r="AR55" s="1067"/>
      <c r="AS55" s="1067"/>
      <c r="AT55" s="1067"/>
      <c r="AU55" s="1071"/>
      <c r="AV55" s="1067"/>
      <c r="AW55" s="1071"/>
      <c r="AX55" s="1067"/>
      <c r="AY55" s="1067"/>
      <c r="AZ55" s="1067"/>
      <c r="BA55" s="1067"/>
      <c r="BB55" s="1070"/>
      <c r="BC55" s="1360"/>
      <c r="BE55" s="79"/>
      <c r="BF55" s="79"/>
      <c r="BG55" s="79"/>
      <c r="BH55" s="79"/>
    </row>
    <row r="56" spans="1:60" ht="11.25" customHeight="1">
      <c r="A56" s="822" t="s">
        <v>238</v>
      </c>
      <c r="B56" s="822" t="s">
        <v>239</v>
      </c>
      <c r="C56" s="822" t="s">
        <v>240</v>
      </c>
      <c r="D56" s="822" t="s">
        <v>1715</v>
      </c>
      <c r="E56" s="1338"/>
      <c r="F56" s="1338"/>
      <c r="G56" s="1338"/>
      <c r="H56" s="1338"/>
      <c r="I56" s="1340"/>
      <c r="J56" s="1340"/>
      <c r="K56" s="1339"/>
      <c r="L56" s="823"/>
      <c r="P56" s="1259"/>
      <c r="Q56" s="1259"/>
      <c r="R56" s="222"/>
      <c r="S56" s="1390"/>
      <c r="T56" s="1440"/>
      <c r="U56" s="179"/>
      <c r="V56" s="1067"/>
      <c r="W56" s="1068" t="str">
        <f>Z52&amp;"-"&amp;AB52</f>
        <v>-</v>
      </c>
      <c r="X56" s="1067"/>
      <c r="Y56" s="1068" t="str">
        <f>AB52&amp;"-"&amp;AD52</f>
        <v>-да</v>
      </c>
      <c r="Z56" s="1067"/>
      <c r="AA56" s="1067"/>
      <c r="AB56" s="1067"/>
      <c r="AC56" s="1067"/>
      <c r="AD56" s="1138"/>
      <c r="AE56" s="191"/>
      <c r="AF56" s="193"/>
      <c r="AG56" s="62" t="s">
        <v>1705</v>
      </c>
      <c r="AH56" s="1067"/>
      <c r="AI56" s="1067"/>
      <c r="AJ56" s="1067"/>
      <c r="AK56" s="1067"/>
      <c r="AL56" s="1067"/>
      <c r="AM56" s="1067"/>
      <c r="AN56" s="1067"/>
      <c r="AO56" s="1067"/>
      <c r="AP56" s="1067"/>
      <c r="AQ56" s="1067"/>
      <c r="AR56" s="1067"/>
      <c r="AS56" s="1067"/>
      <c r="AT56" s="1067"/>
      <c r="AU56" s="1068" t="str">
        <f>AX52&amp;"-"&amp;AZ52</f>
        <v>-</v>
      </c>
      <c r="AV56" s="1067"/>
      <c r="AW56" s="1068" t="str">
        <f>AZ52&amp;"-"&amp;BB52</f>
        <v>-</v>
      </c>
      <c r="AX56" s="1067"/>
      <c r="AY56" s="1067"/>
      <c r="AZ56" s="1067"/>
      <c r="BA56" s="1067"/>
      <c r="BB56" s="1073" t="str">
        <f>BE52&amp;"-"&amp;BG52</f>
        <v>-</v>
      </c>
      <c r="BC56" s="1360"/>
      <c r="BE56" s="79"/>
      <c r="BF56" s="79" t="str">
        <f t="shared" ref="BF56:BF63" si="4">IF(T56="","",T56)</f>
        <v/>
      </c>
      <c r="BG56" s="79"/>
      <c r="BH56" s="79"/>
    </row>
    <row r="57" spans="1:60" ht="11.25" customHeight="1">
      <c r="A57" s="822" t="s">
        <v>238</v>
      </c>
      <c r="B57" s="822" t="s">
        <v>239</v>
      </c>
      <c r="C57" s="822" t="s">
        <v>240</v>
      </c>
      <c r="D57" s="822" t="s">
        <v>1715</v>
      </c>
      <c r="E57" s="1338"/>
      <c r="F57" s="1338"/>
      <c r="G57" s="1338"/>
      <c r="H57" s="1338"/>
      <c r="I57" s="1340"/>
      <c r="J57" s="1339"/>
      <c r="K57" s="822"/>
      <c r="L57" s="823"/>
      <c r="P57" s="1259"/>
      <c r="Q57" s="1259"/>
      <c r="R57" s="221"/>
      <c r="S57" s="796"/>
      <c r="T57" s="174" t="s">
        <v>1542</v>
      </c>
      <c r="U57" s="228"/>
      <c r="V57" s="228"/>
      <c r="W57" s="228"/>
      <c r="X57" s="228"/>
      <c r="Y57" s="228"/>
      <c r="Z57" s="228"/>
      <c r="AA57" s="228"/>
      <c r="AB57" s="228"/>
      <c r="AC57" s="204"/>
      <c r="AD57" s="865"/>
      <c r="AE57" s="228"/>
      <c r="AF57" s="228"/>
      <c r="AG57" s="228"/>
      <c r="AH57" s="228"/>
      <c r="AI57" s="228"/>
      <c r="AJ57" s="228"/>
      <c r="AK57" s="228"/>
      <c r="AL57" s="228"/>
      <c r="AM57" s="228"/>
      <c r="AN57" s="228"/>
      <c r="AO57" s="228"/>
      <c r="AP57" s="228"/>
      <c r="AQ57" s="228"/>
      <c r="AR57" s="228"/>
      <c r="AS57" s="228"/>
      <c r="AT57" s="228"/>
      <c r="AU57" s="228"/>
      <c r="AV57" s="228"/>
      <c r="AW57" s="228"/>
      <c r="AX57" s="228"/>
      <c r="AY57" s="228"/>
      <c r="AZ57" s="228"/>
      <c r="BA57" s="228"/>
      <c r="BB57" s="204"/>
      <c r="BC57" s="1361"/>
      <c r="BE57" s="79"/>
      <c r="BF57" s="79" t="str">
        <f t="shared" si="4"/>
        <v>Добавить строку</v>
      </c>
      <c r="BG57" s="79"/>
      <c r="BH57" s="79"/>
    </row>
    <row r="58" spans="1:60" s="77" customFormat="1" ht="0" hidden="1" customHeight="1">
      <c r="A58" s="150" t="s">
        <v>238</v>
      </c>
      <c r="B58" s="150" t="s">
        <v>239</v>
      </c>
      <c r="C58" s="150" t="s">
        <v>240</v>
      </c>
      <c r="D58" s="150" t="s">
        <v>1715</v>
      </c>
      <c r="E58" s="1338"/>
      <c r="F58" s="1338"/>
      <c r="G58" s="1338"/>
      <c r="H58" s="1338"/>
      <c r="I58" s="1339"/>
      <c r="J58" s="150"/>
      <c r="K58" s="150"/>
      <c r="L58" s="373"/>
      <c r="M58" s="235"/>
      <c r="N58" s="235"/>
      <c r="O58" s="235"/>
      <c r="P58" s="1259"/>
      <c r="Q58" s="127"/>
      <c r="R58" s="221"/>
      <c r="S58" s="834"/>
      <c r="T58" s="835"/>
      <c r="U58" s="836"/>
      <c r="V58" s="836"/>
      <c r="W58" s="836"/>
      <c r="X58" s="836"/>
      <c r="Y58" s="836"/>
      <c r="Z58" s="836"/>
      <c r="AA58" s="836"/>
      <c r="AB58" s="836"/>
      <c r="AC58" s="836"/>
      <c r="AD58" s="836"/>
      <c r="AE58" s="836"/>
      <c r="AF58" s="836"/>
      <c r="AG58" s="836"/>
      <c r="AH58" s="836"/>
      <c r="AI58" s="836"/>
      <c r="AJ58" s="836"/>
      <c r="AK58" s="836"/>
      <c r="AL58" s="836"/>
      <c r="AM58" s="836"/>
      <c r="AN58" s="836"/>
      <c r="AO58" s="836"/>
      <c r="AP58" s="836"/>
      <c r="AQ58" s="836"/>
      <c r="AR58" s="836"/>
      <c r="AS58" s="836"/>
      <c r="AT58" s="836"/>
      <c r="AU58" s="836"/>
      <c r="AV58" s="836"/>
      <c r="AW58" s="836"/>
      <c r="AX58" s="836"/>
      <c r="AY58" s="836"/>
      <c r="AZ58" s="836"/>
      <c r="BA58" s="836"/>
      <c r="BB58" s="836"/>
      <c r="BC58" s="837"/>
      <c r="BE58" s="79"/>
      <c r="BF58" s="79" t="str">
        <f t="shared" si="4"/>
        <v/>
      </c>
      <c r="BG58" s="79"/>
      <c r="BH58" s="79"/>
    </row>
    <row r="59" spans="1:60" s="77" customFormat="1" ht="0" hidden="1" customHeight="1">
      <c r="A59" s="150" t="s">
        <v>238</v>
      </c>
      <c r="B59" s="150" t="s">
        <v>239</v>
      </c>
      <c r="C59" s="150" t="s">
        <v>240</v>
      </c>
      <c r="D59" s="150" t="s">
        <v>1715</v>
      </c>
      <c r="E59" s="1338"/>
      <c r="F59" s="1338"/>
      <c r="G59" s="1338"/>
      <c r="H59" s="1337"/>
      <c r="I59" s="150"/>
      <c r="J59" s="150"/>
      <c r="K59" s="150"/>
      <c r="L59" s="373"/>
      <c r="M59" s="318"/>
      <c r="N59" s="318"/>
      <c r="P59" s="111"/>
      <c r="Q59" s="811"/>
      <c r="R59" s="842"/>
      <c r="S59" s="834"/>
      <c r="T59" s="835"/>
      <c r="U59" s="836"/>
      <c r="V59" s="836"/>
      <c r="W59" s="836"/>
      <c r="X59" s="836"/>
      <c r="Y59" s="836"/>
      <c r="Z59" s="836"/>
      <c r="AA59" s="836"/>
      <c r="AB59" s="836"/>
      <c r="AC59" s="836"/>
      <c r="AD59" s="836"/>
      <c r="AE59" s="836"/>
      <c r="AF59" s="836"/>
      <c r="AG59" s="836"/>
      <c r="AH59" s="836"/>
      <c r="AI59" s="836"/>
      <c r="AJ59" s="836"/>
      <c r="AK59" s="836"/>
      <c r="AL59" s="836"/>
      <c r="AM59" s="836"/>
      <c r="AN59" s="836"/>
      <c r="AO59" s="836"/>
      <c r="AP59" s="836"/>
      <c r="AQ59" s="836"/>
      <c r="AR59" s="836"/>
      <c r="AS59" s="836"/>
      <c r="AT59" s="836"/>
      <c r="AU59" s="836"/>
      <c r="AV59" s="836"/>
      <c r="AW59" s="836"/>
      <c r="AX59" s="836"/>
      <c r="AY59" s="836"/>
      <c r="AZ59" s="836"/>
      <c r="BA59" s="836"/>
      <c r="BB59" s="836"/>
      <c r="BC59" s="837"/>
      <c r="BE59" s="79"/>
      <c r="BF59" s="79" t="str">
        <f t="shared" si="4"/>
        <v/>
      </c>
      <c r="BG59" s="79"/>
      <c r="BH59" s="79"/>
    </row>
    <row r="60" spans="1:60" s="77" customFormat="1" ht="0" hidden="1" customHeight="1">
      <c r="A60" s="150" t="s">
        <v>238</v>
      </c>
      <c r="B60" s="150" t="s">
        <v>239</v>
      </c>
      <c r="C60" s="150" t="s">
        <v>240</v>
      </c>
      <c r="D60" s="150"/>
      <c r="E60" s="1338"/>
      <c r="F60" s="1338"/>
      <c r="G60" s="1337"/>
      <c r="H60" s="150"/>
      <c r="I60" s="150"/>
      <c r="J60" s="150"/>
      <c r="K60" s="150"/>
      <c r="L60" s="373"/>
      <c r="M60" s="318"/>
      <c r="N60" s="318"/>
      <c r="P60" s="111"/>
      <c r="Q60" s="811"/>
      <c r="R60" s="111"/>
      <c r="S60" s="816"/>
      <c r="T60" s="818"/>
      <c r="U60" s="338"/>
      <c r="V60" s="338"/>
      <c r="W60" s="338"/>
      <c r="X60" s="338"/>
      <c r="Y60" s="338"/>
      <c r="Z60" s="338"/>
      <c r="AA60" s="338"/>
      <c r="AB60" s="338"/>
      <c r="AC60" s="338"/>
      <c r="AD60" s="338"/>
      <c r="AE60" s="338"/>
      <c r="AF60" s="338"/>
      <c r="AG60" s="338"/>
      <c r="AH60" s="338"/>
      <c r="AI60" s="338"/>
      <c r="AJ60" s="338"/>
      <c r="AK60" s="338"/>
      <c r="AL60" s="338"/>
      <c r="AM60" s="338"/>
      <c r="AN60" s="338"/>
      <c r="AO60" s="338"/>
      <c r="AP60" s="338"/>
      <c r="AQ60" s="338"/>
      <c r="AR60" s="338"/>
      <c r="AS60" s="338"/>
      <c r="AT60" s="338"/>
      <c r="AU60" s="338"/>
      <c r="AV60" s="338"/>
      <c r="AW60" s="338"/>
      <c r="AX60" s="338"/>
      <c r="AY60" s="338"/>
      <c r="AZ60" s="338"/>
      <c r="BA60" s="338"/>
      <c r="BB60" s="338"/>
      <c r="BC60" s="338"/>
      <c r="BE60" s="79"/>
      <c r="BF60" s="79" t="str">
        <f t="shared" si="4"/>
        <v/>
      </c>
      <c r="BG60" s="79"/>
      <c r="BH60" s="79"/>
    </row>
    <row r="61" spans="1:60" s="77" customFormat="1" ht="0" hidden="1" customHeight="1">
      <c r="A61" s="150" t="s">
        <v>238</v>
      </c>
      <c r="B61" s="150" t="s">
        <v>239</v>
      </c>
      <c r="C61" s="150"/>
      <c r="D61" s="150"/>
      <c r="E61" s="1338"/>
      <c r="F61" s="1337"/>
      <c r="G61" s="150"/>
      <c r="H61" s="150"/>
      <c r="I61" s="150"/>
      <c r="J61" s="150"/>
      <c r="K61" s="150"/>
      <c r="L61" s="373"/>
      <c r="M61" s="815"/>
      <c r="N61" s="815"/>
      <c r="P61" s="111"/>
      <c r="Q61" s="811"/>
      <c r="R61" s="111"/>
      <c r="S61" s="816"/>
      <c r="T61" s="818" t="s">
        <v>1438</v>
      </c>
      <c r="U61" s="338"/>
      <c r="V61" s="338"/>
      <c r="W61" s="338"/>
      <c r="X61" s="338"/>
      <c r="Y61" s="338"/>
      <c r="Z61" s="338"/>
      <c r="AA61" s="338"/>
      <c r="AB61" s="338"/>
      <c r="AC61" s="338"/>
      <c r="AD61" s="338"/>
      <c r="AE61" s="338"/>
      <c r="AF61" s="338"/>
      <c r="AG61" s="338"/>
      <c r="AH61" s="338"/>
      <c r="AI61" s="338"/>
      <c r="AJ61" s="338"/>
      <c r="AK61" s="338"/>
      <c r="AL61" s="338"/>
      <c r="AM61" s="338"/>
      <c r="AN61" s="338"/>
      <c r="AO61" s="338"/>
      <c r="AP61" s="338"/>
      <c r="AQ61" s="338"/>
      <c r="AR61" s="338"/>
      <c r="AS61" s="338"/>
      <c r="AT61" s="338"/>
      <c r="AU61" s="338"/>
      <c r="AV61" s="338"/>
      <c r="AW61" s="338"/>
      <c r="AX61" s="338"/>
      <c r="AY61" s="338"/>
      <c r="AZ61" s="338"/>
      <c r="BA61" s="338"/>
      <c r="BB61" s="338"/>
      <c r="BC61" s="338"/>
      <c r="BE61" s="79"/>
      <c r="BF61" s="79" t="str">
        <f t="shared" si="4"/>
        <v>Добавить централизованную систему для дифференциации</v>
      </c>
      <c r="BG61" s="79"/>
      <c r="BH61" s="79"/>
    </row>
    <row r="62" spans="1:60" s="77" customFormat="1" ht="0" hidden="1" customHeight="1">
      <c r="A62" s="150" t="s">
        <v>238</v>
      </c>
      <c r="B62" s="150"/>
      <c r="C62" s="150"/>
      <c r="D62" s="150"/>
      <c r="E62" s="1337"/>
      <c r="F62" s="150"/>
      <c r="G62" s="150"/>
      <c r="H62" s="150"/>
      <c r="I62" s="150"/>
      <c r="J62" s="150"/>
      <c r="K62" s="150"/>
      <c r="L62" s="373"/>
      <c r="M62" s="815"/>
      <c r="N62" s="815"/>
      <c r="P62" s="111"/>
      <c r="Q62" s="811"/>
      <c r="R62" s="111"/>
      <c r="S62" s="816"/>
      <c r="T62" s="818" t="s">
        <v>1439</v>
      </c>
      <c r="U62" s="338"/>
      <c r="V62" s="338"/>
      <c r="W62" s="338"/>
      <c r="X62" s="338"/>
      <c r="Y62" s="338"/>
      <c r="Z62" s="338"/>
      <c r="AA62" s="338"/>
      <c r="AB62" s="338"/>
      <c r="AC62" s="338"/>
      <c r="AD62" s="338"/>
      <c r="AE62" s="338"/>
      <c r="AF62" s="338"/>
      <c r="AG62" s="338"/>
      <c r="AH62" s="338"/>
      <c r="AI62" s="338"/>
      <c r="AJ62" s="338"/>
      <c r="AK62" s="338"/>
      <c r="AL62" s="338"/>
      <c r="AM62" s="338"/>
      <c r="AN62" s="338"/>
      <c r="AO62" s="338"/>
      <c r="AP62" s="338"/>
      <c r="AQ62" s="338"/>
      <c r="AR62" s="338"/>
      <c r="AS62" s="338"/>
      <c r="AT62" s="338"/>
      <c r="AU62" s="338"/>
      <c r="AV62" s="338"/>
      <c r="AW62" s="338"/>
      <c r="AX62" s="338"/>
      <c r="AY62" s="338"/>
      <c r="AZ62" s="338"/>
      <c r="BA62" s="338"/>
      <c r="BB62" s="338"/>
      <c r="BC62" s="338"/>
      <c r="BE62" s="79"/>
      <c r="BF62" s="79" t="str">
        <f t="shared" si="4"/>
        <v>Добавить территорию для дифференциации</v>
      </c>
      <c r="BG62" s="79"/>
      <c r="BH62" s="79"/>
    </row>
    <row r="63" spans="1:60" s="77" customFormat="1" ht="0" hidden="1" customHeight="1">
      <c r="A63" s="150"/>
      <c r="B63" s="150"/>
      <c r="C63" s="150"/>
      <c r="D63" s="150"/>
      <c r="E63" s="150"/>
      <c r="F63" s="150"/>
      <c r="G63" s="150"/>
      <c r="H63" s="150"/>
      <c r="I63" s="150"/>
      <c r="J63" s="150"/>
      <c r="K63" s="150"/>
      <c r="L63" s="373"/>
      <c r="M63" s="815"/>
      <c r="N63" s="815"/>
      <c r="P63" s="111"/>
      <c r="Q63" s="811"/>
      <c r="R63" s="111"/>
      <c r="S63" s="816"/>
      <c r="T63" s="818" t="s">
        <v>1440</v>
      </c>
      <c r="U63" s="338"/>
      <c r="V63" s="338"/>
      <c r="W63" s="338"/>
      <c r="X63" s="338"/>
      <c r="Y63" s="338"/>
      <c r="Z63" s="338"/>
      <c r="AA63" s="338"/>
      <c r="AB63" s="338"/>
      <c r="AC63" s="338"/>
      <c r="AD63" s="338"/>
      <c r="AE63" s="338"/>
      <c r="AF63" s="338"/>
      <c r="AG63" s="338"/>
      <c r="AH63" s="338"/>
      <c r="AI63" s="338"/>
      <c r="AJ63" s="338"/>
      <c r="AK63" s="338"/>
      <c r="AL63" s="338"/>
      <c r="AM63" s="338"/>
      <c r="AN63" s="338"/>
      <c r="AO63" s="338"/>
      <c r="AP63" s="338"/>
      <c r="AQ63" s="338"/>
      <c r="AR63" s="338"/>
      <c r="AS63" s="338"/>
      <c r="AT63" s="338"/>
      <c r="AU63" s="338"/>
      <c r="AV63" s="338"/>
      <c r="AW63" s="338"/>
      <c r="AX63" s="338"/>
      <c r="AY63" s="338"/>
      <c r="AZ63" s="338"/>
      <c r="BA63" s="338"/>
      <c r="BB63" s="338"/>
      <c r="BC63" s="338"/>
      <c r="BE63" s="79"/>
      <c r="BF63" s="79" t="str">
        <f t="shared" si="4"/>
        <v>Добавить наименование тарифа</v>
      </c>
      <c r="BG63" s="79"/>
      <c r="BH63" s="79"/>
    </row>
    <row r="64" spans="1:60" ht="11.25" hidden="1" customHeight="1">
      <c r="M64" s="72"/>
      <c r="N64" s="72"/>
      <c r="O64" s="72"/>
      <c r="P64" s="72"/>
      <c r="Q64" s="72"/>
      <c r="R64" s="24"/>
      <c r="S64" s="24"/>
      <c r="BD64" s="24"/>
      <c r="BE64" s="24"/>
      <c r="BF64" s="24"/>
      <c r="BG64" s="24"/>
      <c r="BH64" s="24"/>
    </row>
    <row r="65" spans="15:55" ht="18.75" hidden="1" customHeight="1">
      <c r="O65" s="72"/>
      <c r="S65" s="210" t="s">
        <v>1510</v>
      </c>
      <c r="T65" s="1336" t="s">
        <v>1716</v>
      </c>
      <c r="U65" s="1336"/>
      <c r="V65" s="1336"/>
      <c r="W65" s="1336"/>
      <c r="X65" s="1336"/>
      <c r="Y65" s="1336"/>
      <c r="Z65" s="1336"/>
      <c r="AA65" s="1336"/>
      <c r="AB65" s="1336"/>
      <c r="AC65" s="1336"/>
      <c r="AD65" s="1336"/>
      <c r="AE65" s="1336"/>
      <c r="AF65" s="1336"/>
      <c r="AG65" s="1336"/>
      <c r="AH65" s="1336"/>
      <c r="AI65" s="1336"/>
      <c r="AJ65" s="1336"/>
      <c r="AK65" s="1336"/>
      <c r="AL65" s="1336"/>
      <c r="AM65" s="1336"/>
      <c r="AN65" s="1336"/>
      <c r="AO65" s="1336"/>
      <c r="AP65" s="1336"/>
      <c r="AQ65" s="1336"/>
      <c r="AR65" s="1336"/>
      <c r="AS65" s="1336"/>
      <c r="AT65" s="1336"/>
      <c r="AU65" s="1336"/>
      <c r="AV65" s="1336"/>
      <c r="AW65" s="1336"/>
      <c r="AX65" s="1336"/>
      <c r="AY65" s="1336"/>
      <c r="AZ65" s="1336"/>
      <c r="BA65" s="1336"/>
      <c r="BB65" s="1336"/>
      <c r="BC65" s="1336"/>
    </row>
    <row r="66" spans="15:55" ht="14.25" hidden="1" customHeight="1">
      <c r="O66" s="72"/>
      <c r="T66" s="399"/>
      <c r="U66" s="399"/>
      <c r="V66" s="399"/>
      <c r="W66" s="399"/>
      <c r="X66" s="399"/>
      <c r="Y66" s="399"/>
      <c r="Z66" s="399"/>
      <c r="AA66" s="399"/>
      <c r="AB66" s="399"/>
      <c r="AC66" s="399"/>
      <c r="AD66" s="399"/>
      <c r="AE66" s="399"/>
      <c r="AF66" s="399"/>
      <c r="AG66" s="399"/>
      <c r="AH66" s="399"/>
      <c r="AI66" s="399"/>
      <c r="AJ66" s="399"/>
      <c r="AK66" s="399"/>
      <c r="AL66" s="399"/>
      <c r="AM66" s="399"/>
      <c r="AN66" s="399"/>
      <c r="AO66" s="399"/>
      <c r="AP66" s="399"/>
      <c r="AQ66" s="399"/>
      <c r="AR66" s="399"/>
      <c r="AS66" s="399"/>
      <c r="AT66" s="399"/>
      <c r="AU66" s="399"/>
      <c r="AV66" s="399"/>
      <c r="AW66" s="399"/>
      <c r="AX66" s="399"/>
      <c r="AY66" s="399"/>
      <c r="AZ66" s="399"/>
      <c r="BA66" s="399"/>
      <c r="BB66" s="399"/>
      <c r="BC66" s="399"/>
    </row>
    <row r="67" spans="15:55" ht="18.75" hidden="1" customHeight="1">
      <c r="O67" s="72"/>
      <c r="S67" s="210" t="s">
        <v>1510</v>
      </c>
      <c r="T67" s="1336" t="s">
        <v>1680</v>
      </c>
      <c r="U67" s="1336"/>
      <c r="V67" s="1336"/>
      <c r="W67" s="1336"/>
      <c r="X67" s="1336"/>
      <c r="Y67" s="1336"/>
      <c r="Z67" s="1336"/>
      <c r="AA67" s="1336"/>
      <c r="AB67" s="1336"/>
      <c r="AC67" s="1336"/>
      <c r="AD67" s="1336"/>
      <c r="AE67" s="1336"/>
      <c r="AF67" s="1336"/>
      <c r="AG67" s="1336"/>
      <c r="AH67" s="1336"/>
      <c r="AI67" s="1336"/>
      <c r="AJ67" s="1336"/>
      <c r="AK67" s="1336"/>
      <c r="AL67" s="1336"/>
      <c r="AM67" s="1336"/>
      <c r="AN67" s="1336"/>
      <c r="AO67" s="1336"/>
      <c r="AP67" s="1336"/>
      <c r="AQ67" s="1336"/>
      <c r="AR67" s="1336"/>
      <c r="AS67" s="1336"/>
      <c r="AT67" s="1336"/>
      <c r="AU67" s="1336"/>
      <c r="AV67" s="1336"/>
      <c r="AW67" s="1336"/>
      <c r="AX67" s="1336"/>
      <c r="AY67" s="1336"/>
      <c r="AZ67" s="1336"/>
      <c r="BA67" s="1336"/>
      <c r="BB67" s="1336"/>
      <c r="BC67" s="1336"/>
    </row>
    <row r="68" spans="15:55" ht="14.25" customHeight="1">
      <c r="O68" s="72"/>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26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26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26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26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26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26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26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26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26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A8500B-59B1-C17F-A7C6-225E9E211788}">
  <sheetPr>
    <tabColor rgb="FFCCCCFF"/>
  </sheetPr>
  <dimension ref="A1:AL16"/>
  <sheetViews>
    <sheetView showGridLines="0" topLeftCell="C3" zoomScale="90" workbookViewId="0">
      <selection activeCell="F13" sqref="F13:F15"/>
    </sheetView>
  </sheetViews>
  <sheetFormatPr defaultColWidth="9.140625" defaultRowHeight="11.25" customHeight="1"/>
  <cols>
    <col min="1" max="1" width="6.42578125" style="44" hidden="1" customWidth="1"/>
    <col min="2" max="2" width="2" style="44" hidden="1" customWidth="1"/>
    <col min="3" max="3" width="3.7109375" style="44" customWidth="1"/>
    <col min="4" max="4" width="4.28515625" style="44" customWidth="1"/>
    <col min="5" max="5" width="45" style="44" customWidth="1"/>
    <col min="6" max="6" width="6.42578125" style="44" customWidth="1"/>
    <col min="7" max="7" width="4.42578125" style="44" customWidth="1"/>
    <col min="8" max="8" width="5.5703125" style="44" customWidth="1"/>
    <col min="9" max="9" width="52.85546875" style="44" customWidth="1"/>
    <col min="10" max="10" width="7" style="44" customWidth="1"/>
    <col min="11" max="11" width="3.7109375" style="44" customWidth="1"/>
    <col min="12" max="12" width="6.28515625" style="44" customWidth="1"/>
    <col min="13" max="13" width="56.28515625" style="44" customWidth="1"/>
    <col min="14" max="14" width="9.140625" style="91"/>
    <col min="15" max="20" width="9.140625" style="79" hidden="1"/>
    <col min="21" max="24" width="9.140625" style="369" hidden="1"/>
    <col min="25" max="37" width="9.140625" style="91" hidden="1"/>
    <col min="38" max="38" width="9.140625" style="91"/>
  </cols>
  <sheetData>
    <row r="1" spans="1:38" ht="11.25" hidden="1" customHeight="1"/>
    <row r="2" spans="1:38" ht="11.25" hidden="1" customHeight="1"/>
    <row r="4" spans="1:38" ht="34.5" customHeight="1">
      <c r="A4" s="369"/>
      <c r="B4" s="369"/>
      <c r="D4" s="1116"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1117"/>
      <c r="F4" s="1117"/>
      <c r="G4" s="1117"/>
      <c r="H4" s="1117"/>
      <c r="I4" s="1118"/>
      <c r="J4" s="91"/>
      <c r="K4" s="91"/>
      <c r="L4" s="91"/>
      <c r="M4" s="91"/>
    </row>
    <row r="5" spans="1:38" s="51" customFormat="1" ht="15" customHeight="1">
      <c r="A5" s="369"/>
      <c r="B5" s="369"/>
      <c r="C5" s="369"/>
      <c r="D5" s="1119" t="str">
        <f>IF(org=0,"Не определено",org)</f>
        <v>ООО "ТЕПЛО ПЛЮС"</v>
      </c>
      <c r="E5" s="1120"/>
      <c r="F5" s="1120"/>
      <c r="G5" s="1120"/>
      <c r="H5" s="1120"/>
      <c r="I5" s="1121"/>
      <c r="J5" s="370"/>
      <c r="K5" s="370"/>
      <c r="L5" s="370"/>
      <c r="M5" s="370"/>
      <c r="N5" s="370"/>
      <c r="O5" s="80"/>
      <c r="P5" s="80"/>
      <c r="Q5" s="80"/>
      <c r="R5" s="80"/>
      <c r="S5" s="80"/>
      <c r="T5" s="80"/>
      <c r="U5" s="784"/>
      <c r="V5" s="784"/>
      <c r="W5" s="784"/>
      <c r="X5" s="784"/>
      <c r="Y5" s="370"/>
      <c r="Z5" s="370"/>
      <c r="AA5" s="370"/>
      <c r="AB5" s="370"/>
      <c r="AC5" s="370"/>
      <c r="AD5" s="370"/>
      <c r="AE5" s="370"/>
      <c r="AF5" s="370"/>
      <c r="AG5" s="370"/>
      <c r="AH5" s="370"/>
      <c r="AI5" s="370"/>
      <c r="AJ5" s="370"/>
      <c r="AK5" s="370"/>
      <c r="AL5" s="370"/>
    </row>
    <row r="6" spans="1:38" s="51" customFormat="1" ht="6" customHeight="1">
      <c r="A6" s="1108"/>
      <c r="B6" s="1108"/>
      <c r="C6" s="1108"/>
      <c r="D6" s="1108"/>
      <c r="E6" s="1108"/>
      <c r="F6" s="1108"/>
      <c r="G6" s="24"/>
      <c r="H6" s="24"/>
      <c r="I6" s="24"/>
      <c r="J6" s="24"/>
      <c r="K6" s="24"/>
      <c r="N6" s="370"/>
      <c r="O6" s="80"/>
      <c r="P6" s="80"/>
      <c r="Q6" s="80"/>
      <c r="R6" s="80"/>
      <c r="S6" s="80"/>
      <c r="T6" s="80"/>
      <c r="U6" s="784"/>
      <c r="V6" s="784"/>
      <c r="W6" s="784"/>
      <c r="X6" s="784"/>
      <c r="Y6" s="370"/>
      <c r="Z6" s="370"/>
      <c r="AA6" s="370"/>
      <c r="AB6" s="370"/>
      <c r="AC6" s="370"/>
      <c r="AD6" s="370"/>
      <c r="AE6" s="370"/>
      <c r="AF6" s="370"/>
      <c r="AG6" s="370"/>
      <c r="AH6" s="370"/>
      <c r="AI6" s="370"/>
      <c r="AJ6" s="370"/>
      <c r="AK6" s="370"/>
      <c r="AL6" s="370"/>
    </row>
    <row r="7" spans="1:38" ht="45.75" hidden="1" customHeight="1">
      <c r="E7" s="112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127"/>
      <c r="G7" s="1127"/>
      <c r="H7" s="1127"/>
      <c r="I7" s="1127"/>
      <c r="J7" s="1127"/>
      <c r="K7" s="1127"/>
      <c r="L7" s="1127"/>
      <c r="M7" s="1127"/>
    </row>
    <row r="8" spans="1:38" s="51" customFormat="1" ht="6" customHeight="1">
      <c r="A8" s="121"/>
      <c r="B8" s="121"/>
      <c r="C8" s="121"/>
      <c r="D8" s="121"/>
      <c r="E8" s="121"/>
      <c r="F8" s="121"/>
      <c r="G8" s="121"/>
      <c r="H8" s="121"/>
      <c r="I8" s="121"/>
      <c r="J8" s="121"/>
      <c r="K8" s="121"/>
      <c r="L8" s="121"/>
      <c r="N8" s="370"/>
      <c r="O8" s="80"/>
      <c r="P8" s="80"/>
      <c r="Q8" s="80"/>
      <c r="R8" s="80"/>
      <c r="S8" s="80"/>
      <c r="T8" s="80"/>
      <c r="U8" s="784"/>
      <c r="V8" s="784"/>
      <c r="W8" s="784"/>
      <c r="X8" s="784"/>
      <c r="Y8" s="370"/>
      <c r="Z8" s="370"/>
      <c r="AA8" s="370"/>
      <c r="AB8" s="370"/>
      <c r="AC8" s="370"/>
      <c r="AD8" s="370"/>
      <c r="AE8" s="370"/>
      <c r="AF8" s="370"/>
      <c r="AG8" s="370"/>
      <c r="AH8" s="370"/>
      <c r="AI8" s="370"/>
      <c r="AJ8" s="370"/>
      <c r="AK8" s="370"/>
      <c r="AL8" s="370"/>
    </row>
    <row r="9" spans="1:38" ht="18" customHeight="1">
      <c r="A9" s="1122"/>
      <c r="B9" s="24"/>
      <c r="C9" s="24"/>
      <c r="D9" s="1123" t="s">
        <v>105</v>
      </c>
      <c r="E9" s="1123"/>
      <c r="F9" s="1124" t="s">
        <v>106</v>
      </c>
      <c r="G9" s="1125"/>
      <c r="H9" s="1125"/>
      <c r="I9" s="1125"/>
      <c r="J9" s="1128" t="s">
        <v>107</v>
      </c>
      <c r="K9" s="1128"/>
      <c r="L9" s="1128"/>
      <c r="M9" s="1128"/>
    </row>
    <row r="10" spans="1:38" ht="22.5" customHeight="1">
      <c r="A10" s="1122"/>
      <c r="B10" s="68"/>
      <c r="C10" s="323"/>
      <c r="D10" s="50" t="s">
        <v>88</v>
      </c>
      <c r="E10" s="50" t="s">
        <v>89</v>
      </c>
      <c r="F10" s="50" t="s">
        <v>108</v>
      </c>
      <c r="G10" s="1129" t="s">
        <v>88</v>
      </c>
      <c r="H10" s="1130"/>
      <c r="I10" s="50" t="s">
        <v>89</v>
      </c>
      <c r="J10" s="50" t="s">
        <v>108</v>
      </c>
      <c r="K10" s="1129" t="s">
        <v>88</v>
      </c>
      <c r="L10" s="1130"/>
      <c r="M10" s="50" t="s">
        <v>89</v>
      </c>
      <c r="N10" s="500"/>
    </row>
    <row r="11" spans="1:38" s="44" customFormat="1" ht="11.25" hidden="1" customHeight="1">
      <c r="A11" s="371"/>
      <c r="B11" s="371"/>
      <c r="C11" s="371"/>
      <c r="D11" s="372" t="s">
        <v>109</v>
      </c>
      <c r="E11" s="372" t="s">
        <v>110</v>
      </c>
      <c r="F11" s="372" t="s">
        <v>90</v>
      </c>
      <c r="G11" s="1112" t="s">
        <v>91</v>
      </c>
      <c r="H11" s="1113"/>
      <c r="I11" s="372" t="s">
        <v>111</v>
      </c>
      <c r="J11" s="372" t="s">
        <v>92</v>
      </c>
      <c r="K11" s="1114" t="s">
        <v>93</v>
      </c>
      <c r="L11" s="1115"/>
      <c r="M11" s="372" t="s">
        <v>112</v>
      </c>
      <c r="N11" s="500"/>
      <c r="O11" s="79"/>
      <c r="P11" s="79"/>
      <c r="Q11" s="79"/>
      <c r="R11" s="79"/>
      <c r="S11" s="79"/>
      <c r="T11" s="79"/>
      <c r="U11" s="369"/>
      <c r="V11" s="369"/>
      <c r="W11" s="369"/>
      <c r="X11" s="369"/>
      <c r="Y11" s="91"/>
      <c r="Z11" s="91"/>
      <c r="AA11" s="91"/>
      <c r="AB11" s="91"/>
      <c r="AC11" s="91"/>
      <c r="AD11" s="91"/>
      <c r="AE11" s="91"/>
      <c r="AF11" s="91"/>
      <c r="AG11" s="91"/>
      <c r="AH11" s="91"/>
      <c r="AI11" s="91"/>
      <c r="AJ11" s="91"/>
      <c r="AK11" s="91"/>
      <c r="AL11" s="91"/>
    </row>
    <row r="12" spans="1:38" ht="0.75" customHeight="1">
      <c r="A12" s="373"/>
      <c r="B12" s="68"/>
      <c r="C12" s="68"/>
      <c r="D12" s="374"/>
      <c r="E12" s="228"/>
      <c r="F12" s="228"/>
      <c r="G12" s="666"/>
      <c r="H12" s="666"/>
      <c r="I12" s="228"/>
      <c r="J12" s="228"/>
      <c r="K12" s="94"/>
      <c r="L12" s="228"/>
      <c r="M12" s="375"/>
      <c r="N12" s="500"/>
      <c r="O12" s="79" t="s">
        <v>113</v>
      </c>
      <c r="P12" s="79" t="s">
        <v>114</v>
      </c>
      <c r="Q12" s="79" t="s">
        <v>115</v>
      </c>
      <c r="R12" s="79" t="s">
        <v>116</v>
      </c>
    </row>
    <row r="13" spans="1:38" s="44" customFormat="1" ht="15" customHeight="1">
      <c r="A13"/>
      <c r="B13"/>
      <c r="C13" s="86"/>
      <c r="D13" s="1134" t="s">
        <v>109</v>
      </c>
      <c r="E13" s="1135" t="str">
        <f>INDEX(VD_NAME_LIST,MATCH("4190064",VD_ID_LIST,0))</f>
        <v>Производство тепловой энергии. Некомбинированная выработка</v>
      </c>
      <c r="F13" s="1138" t="s">
        <v>57</v>
      </c>
      <c r="G13" s="1139"/>
      <c r="H13" s="1140">
        <v>1</v>
      </c>
      <c r="I13" s="1131" t="s">
        <v>17</v>
      </c>
      <c r="J13" s="1133" t="s">
        <v>57</v>
      </c>
      <c r="K13" s="376"/>
      <c r="L13" s="52" t="s">
        <v>109</v>
      </c>
      <c r="M13" s="377" t="s">
        <v>17</v>
      </c>
      <c r="N13" s="500"/>
      <c r="O13" s="79" t="s">
        <v>117</v>
      </c>
      <c r="P13" s="79" t="str">
        <f>$E$13</f>
        <v>Производство тепловой энергии. Некомбинированная выработка</v>
      </c>
      <c r="Q13" s="79" t="str">
        <f>IF($F$13="нет","без дифференциации",$I$13)</f>
        <v>без дифференциации</v>
      </c>
      <c r="R13" s="79" t="str">
        <f>IF($J$13="нет","без дифференциации",M13)</f>
        <v>без дифференциации</v>
      </c>
      <c r="S13" s="79"/>
      <c r="T13" s="79"/>
      <c r="U13" s="369"/>
      <c r="V13" s="369" t="s">
        <v>118</v>
      </c>
      <c r="W13" s="369"/>
      <c r="X13" s="369"/>
      <c r="Y13" s="91" t="s">
        <v>119</v>
      </c>
      <c r="Z13" s="91">
        <v>1705000</v>
      </c>
      <c r="AA13" s="91"/>
      <c r="AB13" s="91"/>
      <c r="AC13" s="91"/>
      <c r="AD13" s="91"/>
      <c r="AE13" s="91"/>
      <c r="AF13" s="91"/>
      <c r="AG13" s="91"/>
      <c r="AH13" s="91"/>
      <c r="AI13" s="91"/>
      <c r="AJ13" s="91"/>
      <c r="AK13" s="91"/>
      <c r="AL13" s="91"/>
    </row>
    <row r="14" spans="1:38" s="44" customFormat="1" ht="15" customHeight="1">
      <c r="A14"/>
      <c r="B14"/>
      <c r="C14" s="96"/>
      <c r="D14" s="1134"/>
      <c r="E14" s="1136"/>
      <c r="F14" s="1133"/>
      <c r="G14" s="1139"/>
      <c r="H14" s="1140"/>
      <c r="I14" s="1132" t="s">
        <v>17</v>
      </c>
      <c r="J14" s="1133"/>
      <c r="K14" s="259"/>
      <c r="L14" s="97"/>
      <c r="M14" s="379" t="s">
        <v>120</v>
      </c>
      <c r="N14" s="500"/>
      <c r="O14" s="79"/>
      <c r="P14" s="79"/>
      <c r="Q14" s="79"/>
      <c r="R14" s="79"/>
      <c r="S14" s="79"/>
      <c r="T14" s="79"/>
      <c r="U14" s="369"/>
      <c r="V14" s="369"/>
      <c r="W14" s="369"/>
      <c r="X14" s="369"/>
      <c r="Y14" s="91"/>
      <c r="Z14" s="91"/>
      <c r="AA14" s="91"/>
      <c r="AB14" s="91"/>
      <c r="AC14" s="91"/>
      <c r="AD14" s="91"/>
      <c r="AE14" s="91"/>
      <c r="AF14" s="91"/>
      <c r="AG14" s="91"/>
      <c r="AH14" s="91"/>
      <c r="AI14" s="91"/>
      <c r="AJ14" s="91"/>
      <c r="AK14" s="91"/>
      <c r="AL14" s="91"/>
    </row>
    <row r="15" spans="1:38" s="44" customFormat="1" ht="15" customHeight="1">
      <c r="A15"/>
      <c r="B15"/>
      <c r="C15" s="96"/>
      <c r="D15" s="1134"/>
      <c r="E15" s="1137"/>
      <c r="F15" s="1133"/>
      <c r="G15" s="667"/>
      <c r="H15" s="668"/>
      <c r="I15" s="116" t="s">
        <v>121</v>
      </c>
      <c r="J15" s="97"/>
      <c r="K15" s="97"/>
      <c r="L15" s="97"/>
      <c r="M15" s="380"/>
      <c r="N15" s="500"/>
      <c r="O15" s="79"/>
      <c r="P15" s="79"/>
      <c r="Q15" s="79"/>
      <c r="R15" s="79"/>
      <c r="S15" s="79"/>
      <c r="T15" s="79"/>
      <c r="U15" s="369"/>
      <c r="V15" s="369"/>
      <c r="W15" s="369"/>
      <c r="X15" s="369"/>
      <c r="Y15" s="91"/>
      <c r="Z15" s="91"/>
      <c r="AA15" s="91"/>
      <c r="AB15" s="91"/>
      <c r="AC15" s="91"/>
      <c r="AD15" s="91"/>
      <c r="AE15" s="91"/>
      <c r="AF15" s="91"/>
      <c r="AG15" s="91"/>
      <c r="AH15" s="91"/>
      <c r="AI15" s="91"/>
      <c r="AJ15" s="91"/>
      <c r="AK15" s="91"/>
      <c r="AL15" s="91"/>
    </row>
    <row r="16" spans="1:38" ht="15" customHeight="1">
      <c r="A16" s="381"/>
      <c r="B16" s="42"/>
      <c r="C16" s="214"/>
      <c r="D16" s="259"/>
      <c r="E16" s="117" t="s">
        <v>122</v>
      </c>
      <c r="F16" s="97"/>
      <c r="G16" s="97"/>
      <c r="H16" s="97"/>
      <c r="I16" s="97"/>
      <c r="J16" s="97"/>
      <c r="K16" s="97" t="s">
        <v>17</v>
      </c>
      <c r="L16" s="97"/>
      <c r="M16" s="380"/>
      <c r="N16" s="500"/>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93F86D-9426-F418-7EA1-BF84F0BB74A3}">
  <sheetPr>
    <tabColor theme="9" tint="-0.249977111117893"/>
  </sheetPr>
  <dimension ref="A1:AE302"/>
  <sheetViews>
    <sheetView showGridLines="0" topLeftCell="D20" zoomScale="90" workbookViewId="0"/>
  </sheetViews>
  <sheetFormatPr defaultColWidth="9.140625" defaultRowHeight="11.25" customHeight="1"/>
  <cols>
    <col min="1" max="1" width="10.7109375" style="613" hidden="1" customWidth="1"/>
    <col min="2" max="2" width="16.85546875" style="72" hidden="1" customWidth="1"/>
    <col min="3" max="3" width="5.5703125" style="77" hidden="1" customWidth="1"/>
    <col min="4" max="4" width="3.7109375" style="24" customWidth="1"/>
    <col min="5" max="5" width="7.7109375" style="24" customWidth="1"/>
    <col min="6" max="6" width="54.5703125" style="24" customWidth="1"/>
    <col min="7" max="7" width="10.42578125" style="24" customWidth="1"/>
    <col min="8" max="8" width="40.7109375" style="24" hidden="1" customWidth="1"/>
    <col min="9" max="9" width="40.7109375" style="24" customWidth="1"/>
    <col min="10" max="10" width="102.85546875" style="24" customWidth="1"/>
    <col min="11" max="11" width="9.7109375" style="72" customWidth="1"/>
    <col min="12" max="12" width="5.28515625" style="77" customWidth="1"/>
    <col min="13" max="13" width="3.7109375" style="77" customWidth="1"/>
    <col min="14" max="17" width="3.7109375" style="72" customWidth="1"/>
    <col min="18" max="18" width="10.5703125" style="77" customWidth="1"/>
    <col min="19" max="19" width="34.7109375" style="72" customWidth="1"/>
    <col min="20" max="20" width="9.42578125" style="72" customWidth="1"/>
    <col min="21" max="21" width="9.140625" style="334"/>
    <col min="22" max="26" width="9.140625" style="72"/>
    <col min="27" max="31" width="9.140625" style="54"/>
  </cols>
  <sheetData>
    <row r="1" spans="1:31" ht="11.25" hidden="1" customHeight="1"/>
    <row r="2" spans="1:31" ht="23.25" hidden="1" customHeight="1">
      <c r="B2" s="1108"/>
      <c r="C2" s="338" t="s">
        <v>1717</v>
      </c>
      <c r="D2" s="214"/>
      <c r="E2" s="336">
        <f>B2</f>
        <v>0</v>
      </c>
      <c r="F2" s="337"/>
      <c r="G2" s="50" t="s">
        <v>1433</v>
      </c>
      <c r="H2" s="50" t="s">
        <v>1433</v>
      </c>
      <c r="I2" s="50" t="s">
        <v>1433</v>
      </c>
      <c r="J2" s="76" t="s">
        <v>1718</v>
      </c>
      <c r="K2" s="333"/>
    </row>
    <row r="3" spans="1:31" s="77" customFormat="1" ht="0.75" hidden="1" customHeight="1">
      <c r="B3" s="1108"/>
      <c r="C3" s="338"/>
      <c r="D3" s="338"/>
      <c r="E3" s="339"/>
      <c r="F3" s="340" t="s">
        <v>1719</v>
      </c>
      <c r="G3" s="341"/>
      <c r="H3" s="341">
        <f>H4*H5+H7</f>
        <v>0</v>
      </c>
      <c r="I3" s="341">
        <f>I4*I5+I6</f>
        <v>0</v>
      </c>
      <c r="J3" s="342"/>
    </row>
    <row r="4" spans="1:31" ht="23.25" hidden="1" customHeight="1">
      <c r="B4" s="1108"/>
      <c r="C4" s="338"/>
      <c r="D4" s="214"/>
      <c r="E4" s="336" t="str">
        <f>B2&amp;".1"</f>
        <v>.1</v>
      </c>
      <c r="F4" s="343" t="s">
        <v>1720</v>
      </c>
      <c r="G4" s="344"/>
      <c r="H4" s="331"/>
      <c r="I4" s="331"/>
      <c r="J4" s="76" t="s">
        <v>1721</v>
      </c>
      <c r="K4" s="333"/>
    </row>
    <row r="5" spans="1:31" ht="18.75" hidden="1" customHeight="1">
      <c r="B5" s="1108"/>
      <c r="C5" s="338"/>
      <c r="D5" s="214"/>
      <c r="E5" s="336" t="str">
        <f>B2&amp;".2"</f>
        <v>.2</v>
      </c>
      <c r="F5" s="343" t="s">
        <v>1722</v>
      </c>
      <c r="G5" s="50" t="s">
        <v>1723</v>
      </c>
      <c r="H5" s="331"/>
      <c r="I5" s="331"/>
      <c r="J5" s="76"/>
      <c r="K5" s="333"/>
    </row>
    <row r="6" spans="1:31" ht="18.75" hidden="1" customHeight="1">
      <c r="B6" s="1108"/>
      <c r="C6" s="338"/>
      <c r="D6" s="214"/>
      <c r="E6" s="336" t="str">
        <f>B2&amp;".3"</f>
        <v>.3</v>
      </c>
      <c r="F6" s="343" t="s">
        <v>1724</v>
      </c>
      <c r="G6" s="50" t="s">
        <v>1723</v>
      </c>
      <c r="H6" s="331"/>
      <c r="I6" s="331"/>
      <c r="J6" s="76"/>
      <c r="K6" s="333"/>
    </row>
    <row r="7" spans="1:31" ht="18.75" hidden="1" customHeight="1">
      <c r="B7" s="1108"/>
      <c r="C7" s="338"/>
      <c r="D7" s="214"/>
      <c r="E7" s="336" t="str">
        <f>B2&amp;".4"</f>
        <v>.4</v>
      </c>
      <c r="F7" s="343" t="s">
        <v>1725</v>
      </c>
      <c r="G7" s="50" t="s">
        <v>1433</v>
      </c>
      <c r="H7" s="345"/>
      <c r="I7" s="345"/>
      <c r="J7" s="76"/>
      <c r="K7" s="333"/>
    </row>
    <row r="8" spans="1:31" s="72" customFormat="1" ht="11.25" hidden="1" customHeight="1">
      <c r="A8" s="613"/>
      <c r="C8" s="77"/>
      <c r="H8" s="72">
        <v>4</v>
      </c>
      <c r="I8" s="72">
        <v>4</v>
      </c>
      <c r="L8" s="77"/>
      <c r="M8" s="77"/>
      <c r="R8" s="77"/>
    </row>
    <row r="9" spans="1:31" s="72" customFormat="1" ht="22.5" hidden="1" customHeight="1">
      <c r="A9" s="613"/>
      <c r="C9" s="77"/>
      <c r="D9" s="329"/>
      <c r="E9" s="50"/>
      <c r="F9" s="330"/>
      <c r="G9" s="50" t="s">
        <v>1723</v>
      </c>
      <c r="H9" s="331"/>
      <c r="I9" s="331"/>
      <c r="J9" s="332" t="s">
        <v>1726</v>
      </c>
      <c r="K9" s="333"/>
      <c r="L9" s="77"/>
      <c r="M9" s="77"/>
      <c r="R9" s="77"/>
      <c r="U9" s="334"/>
      <c r="AA9" s="54"/>
      <c r="AB9" s="54"/>
      <c r="AC9" s="54"/>
      <c r="AD9" s="54"/>
      <c r="AE9" s="54"/>
    </row>
    <row r="10" spans="1:31" ht="11.25" hidden="1" customHeight="1"/>
    <row r="11" spans="1:31" ht="18.75" hidden="1" customHeight="1">
      <c r="D11" s="214"/>
      <c r="E11" s="336"/>
      <c r="F11" s="330"/>
      <c r="G11" s="50" t="s">
        <v>800</v>
      </c>
      <c r="H11" s="331"/>
      <c r="I11" s="331"/>
      <c r="J11" s="76" t="s">
        <v>1727</v>
      </c>
      <c r="K11" s="333"/>
    </row>
    <row r="12" spans="1:31" ht="11.25" hidden="1" customHeight="1"/>
    <row r="13" spans="1:31" ht="22.5" hidden="1" customHeight="1">
      <c r="D13" s="214"/>
      <c r="E13" s="336"/>
      <c r="F13" s="330"/>
      <c r="G13" s="422" t="s">
        <v>1619</v>
      </c>
      <c r="H13" s="335"/>
      <c r="I13" s="335"/>
      <c r="J13" s="460" t="s">
        <v>1728</v>
      </c>
      <c r="K13" s="333"/>
    </row>
    <row r="14" spans="1:31" ht="11.25" hidden="1" customHeight="1"/>
    <row r="15" spans="1:31" ht="22.5" hidden="1" customHeight="1">
      <c r="D15" s="214"/>
      <c r="E15" s="336"/>
      <c r="F15" s="330"/>
      <c r="G15" s="50" t="s">
        <v>1729</v>
      </c>
      <c r="H15" s="335"/>
      <c r="I15" s="335"/>
      <c r="J15" s="76" t="s">
        <v>1730</v>
      </c>
      <c r="K15" s="333"/>
    </row>
    <row r="16" spans="1:31" ht="11.25" hidden="1" customHeight="1"/>
    <row r="17" spans="1:26" ht="22.5" hidden="1" customHeight="1">
      <c r="D17" s="214"/>
      <c r="E17" s="336"/>
      <c r="F17" s="330"/>
      <c r="G17" s="50" t="s">
        <v>1731</v>
      </c>
      <c r="H17" s="335"/>
      <c r="I17" s="335"/>
      <c r="J17" s="76" t="s">
        <v>1732</v>
      </c>
      <c r="K17" s="333"/>
    </row>
    <row r="18" spans="1:26" ht="11.25" hidden="1" customHeight="1"/>
    <row r="19" spans="1:26" s="54" customFormat="1" ht="11.25" hidden="1" customHeight="1">
      <c r="A19" s="613"/>
      <c r="B19" s="72"/>
      <c r="C19" s="77"/>
      <c r="J19" s="54">
        <v>4</v>
      </c>
      <c r="K19" s="72"/>
      <c r="L19" s="77"/>
      <c r="M19" s="77"/>
      <c r="N19" s="72"/>
      <c r="O19" s="72"/>
      <c r="P19" s="72"/>
      <c r="Q19" s="72"/>
      <c r="R19" s="77"/>
      <c r="S19" s="72"/>
      <c r="T19" s="72"/>
      <c r="U19" s="334"/>
      <c r="V19" s="72"/>
      <c r="W19" s="72"/>
      <c r="X19" s="72"/>
      <c r="Y19" s="72"/>
      <c r="Z19" s="72"/>
    </row>
    <row r="21" spans="1:26" ht="24" customHeight="1">
      <c r="E21" s="1116"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1117"/>
      <c r="G21" s="1117"/>
      <c r="H21" s="1117"/>
      <c r="I21" s="1118"/>
      <c r="J21" s="69"/>
    </row>
    <row r="22" spans="1:26" ht="24" customHeight="1">
      <c r="E22" s="1228" t="str">
        <f>IF(org=0,"Не определено",org)</f>
        <v>ООО "ТЕПЛО ПЛЮС"</v>
      </c>
      <c r="F22" s="1229"/>
      <c r="G22" s="1229"/>
      <c r="H22" s="1229"/>
      <c r="I22" s="1230"/>
    </row>
    <row r="23" spans="1:26" ht="11.25" customHeight="1">
      <c r="E23" s="710"/>
      <c r="F23" s="710"/>
      <c r="G23" s="710"/>
      <c r="H23" s="710"/>
      <c r="I23" s="710"/>
    </row>
    <row r="24" spans="1:26" s="77" customFormat="1" ht="0.75" customHeight="1">
      <c r="A24" s="338"/>
      <c r="H24" s="552"/>
      <c r="I24" s="552" t="s">
        <v>117</v>
      </c>
    </row>
    <row r="25" spans="1:26" ht="11.25" customHeight="1">
      <c r="E25" s="435"/>
      <c r="F25" s="1411" t="s">
        <v>105</v>
      </c>
      <c r="G25" s="1412"/>
      <c r="H25" s="903" t="str">
        <f>IF(H24="","",INDEX(DIFFERENTIATION_UNMERGE_VD,MATCH(H24,DIFFERENTIATION_ID_DIFF,0)))</f>
        <v/>
      </c>
      <c r="I25" s="903" t="str">
        <f>IF(I24="","",INDEX(DIFFERENTIATION_UNMERGE_VD,MATCH(I24,DIFFERENTIATION_ID_DIFF,0)))</f>
        <v>Производство тепловой энергии. Некомбинированная выработка</v>
      </c>
      <c r="J25" s="1123"/>
    </row>
    <row r="26" spans="1:26" ht="11.25" customHeight="1">
      <c r="E26" s="435"/>
      <c r="F26" s="1411" t="s">
        <v>1421</v>
      </c>
      <c r="G26" s="1412"/>
      <c r="H26" s="903" t="str">
        <f>IF(H24="","",INDEX(DIFFERENTIATION_UNMERGE_AREA,MATCH(H24,DIFFERENTIATION_ID_DIFF,0)))</f>
        <v/>
      </c>
      <c r="I26" s="903" t="str">
        <f>IF(I24="","",INDEX(DIFFERENTIATION_UNMERGE_AREA,MATCH(I24,DIFFERENTIATION_ID_DIFF,0)))</f>
        <v>без дифференциации</v>
      </c>
      <c r="J26" s="1123"/>
    </row>
    <row r="27" spans="1:26" ht="11.25" customHeight="1">
      <c r="E27" s="435"/>
      <c r="F27" s="1411" t="s">
        <v>1422</v>
      </c>
      <c r="G27" s="1412"/>
      <c r="H27" s="903" t="str">
        <f>IF(H24="","",INDEX(DIFFERENTIATION_UNMERGE_SYSTEM,MATCH(H24,DIFFERENTIATION_ID_DIFF,0)))</f>
        <v/>
      </c>
      <c r="I27" s="903" t="str">
        <f>IF(I24="","",INDEX(DIFFERENTIATION_UNMERGE_SYSTEM,MATCH(I24,DIFFERENTIATION_ID_DIFF,0)))</f>
        <v>без дифференциации</v>
      </c>
      <c r="J27" s="1123"/>
    </row>
    <row r="28" spans="1:26" ht="11.25" customHeight="1">
      <c r="E28" s="1413" t="s">
        <v>292</v>
      </c>
      <c r="F28" s="1414"/>
      <c r="G28" s="1414"/>
      <c r="H28" s="550"/>
      <c r="I28" s="550"/>
      <c r="J28" s="1123"/>
    </row>
    <row r="29" spans="1:26" ht="22.5" customHeight="1">
      <c r="E29" s="50" t="s">
        <v>88</v>
      </c>
      <c r="F29" s="50" t="s">
        <v>294</v>
      </c>
      <c r="G29" s="50" t="s">
        <v>1600</v>
      </c>
      <c r="H29" s="50" t="s">
        <v>295</v>
      </c>
      <c r="I29" s="50" t="s">
        <v>295</v>
      </c>
      <c r="J29" s="1123"/>
    </row>
    <row r="30" spans="1:26" ht="18.75" customHeight="1">
      <c r="D30" s="214"/>
      <c r="E30" s="336">
        <f>FHD_NUM_P_1</f>
        <v>1</v>
      </c>
      <c r="F30" s="157" t="str">
        <f>FHD_P_1</f>
        <v>Выручка от регулируемого вида деятельности с распределением по видам деятельности</v>
      </c>
      <c r="G30" s="50" t="s">
        <v>1723</v>
      </c>
      <c r="H30" s="346"/>
      <c r="I30" s="346"/>
      <c r="J30" s="76" t="str">
        <f>FHD_NOTE_P_1</f>
        <v>Указывается выручка от регулируемого вида деятельности с распределением по видам деятельности.</v>
      </c>
      <c r="K30" s="333"/>
    </row>
    <row r="31" spans="1:26" ht="11.25" customHeight="1">
      <c r="D31" s="214"/>
      <c r="E31" s="336">
        <f>FHD_NUM_P_2</f>
        <v>2</v>
      </c>
      <c r="F31" s="157" t="str">
        <f>FHD_P_2</f>
        <v>Себестоимость производимых товаров (оказываемых услуг) по регулируемому виду деятельности, включая:</v>
      </c>
      <c r="G31" s="50" t="s">
        <v>1723</v>
      </c>
      <c r="H31" s="347">
        <f>SUMIF($K33:$K71,$K31,H33:H71)</f>
        <v>0</v>
      </c>
      <c r="I31" s="347">
        <f>SUMIF($K33:$K71,$K31,I33:I71)</f>
        <v>0</v>
      </c>
      <c r="J31" s="76" t="str">
        <f>FHD_NOTE_P_2</f>
        <v>Указывается суммарная себестоимость производимых товаров.</v>
      </c>
      <c r="K31" s="77" t="s">
        <v>1733</v>
      </c>
    </row>
    <row r="32" spans="1:26" ht="11.25" customHeight="1">
      <c r="D32" s="214"/>
      <c r="E32" s="336" t="str">
        <f>FHD_NUM_P_3</f>
        <v>2.1</v>
      </c>
      <c r="F32" s="348" t="str">
        <f>FHD_P_3</f>
        <v>Расходы на приобретаемую тепловую энергию (мощность), теплоноситель</v>
      </c>
      <c r="G32" s="50" t="s">
        <v>1723</v>
      </c>
      <c r="H32" s="346"/>
      <c r="I32" s="346"/>
      <c r="J32" s="76" t="str">
        <f>FHD_NOTE_P_3</f>
        <v/>
      </c>
      <c r="K32" s="77" t="str">
        <f t="shared" ref="K32:K70" si="0">IF((LEN(E32)-LEN(SUBSTITUTE(E32,".","")))/LEN(".")=1,"p","")</f>
        <v>p</v>
      </c>
    </row>
    <row r="33" spans="1:31" ht="11.25" customHeight="1">
      <c r="A33" s="1445" t="s">
        <v>1734</v>
      </c>
      <c r="D33" s="214"/>
      <c r="E33" s="336" t="str">
        <f>FHD_NUM_P_4</f>
        <v>2.2</v>
      </c>
      <c r="F33" s="348"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50" t="s">
        <v>1723</v>
      </c>
      <c r="H33" s="347">
        <f>SUMIF($F34:$F40,$F3,H34:H40)</f>
        <v>0</v>
      </c>
      <c r="I33" s="347">
        <f>SUMIF($F34:$F40,$F3,I34:I40)</f>
        <v>0</v>
      </c>
      <c r="J33" s="76" t="str">
        <f>FHD_NOTE_P_4</f>
        <v>Указываются суммарные расходы на приобретение топлива всех видов.</v>
      </c>
      <c r="K33" s="77" t="str">
        <f t="shared" si="0"/>
        <v>p</v>
      </c>
    </row>
    <row r="34" spans="1:31" s="216" customFormat="1" ht="0.75" customHeight="1">
      <c r="A34" s="1445"/>
      <c r="B34" s="1446" t="str">
        <f>E33&amp;".0"</f>
        <v>2.2.0</v>
      </c>
      <c r="C34" s="338"/>
      <c r="D34" s="349"/>
      <c r="E34" s="350"/>
      <c r="F34" s="351"/>
      <c r="G34" s="352"/>
      <c r="H34" s="310"/>
      <c r="I34" s="310"/>
      <c r="J34" s="353"/>
      <c r="K34" s="77" t="str">
        <f t="shared" si="0"/>
        <v/>
      </c>
      <c r="L34" s="77"/>
      <c r="M34" s="77"/>
      <c r="N34" s="77"/>
      <c r="O34" s="77"/>
      <c r="P34" s="77"/>
      <c r="Q34" s="77"/>
      <c r="R34" s="77"/>
      <c r="S34" s="77"/>
      <c r="T34" s="77"/>
      <c r="U34" s="354"/>
      <c r="V34" s="77"/>
      <c r="W34" s="77"/>
      <c r="X34" s="77"/>
      <c r="Y34" s="77"/>
      <c r="Z34" s="77"/>
      <c r="AA34" s="355"/>
      <c r="AB34" s="355"/>
      <c r="AC34" s="355"/>
      <c r="AD34" s="355"/>
      <c r="AE34" s="355"/>
    </row>
    <row r="35" spans="1:31" s="216" customFormat="1" ht="0.75" customHeight="1">
      <c r="A35" s="1445"/>
      <c r="B35" s="1446"/>
      <c r="C35" s="338"/>
      <c r="D35" s="349"/>
      <c r="E35" s="356"/>
      <c r="F35" s="357"/>
      <c r="G35" s="352"/>
      <c r="H35" s="358"/>
      <c r="I35" s="358"/>
      <c r="J35" s="353"/>
      <c r="K35" s="77" t="str">
        <f t="shared" si="0"/>
        <v/>
      </c>
      <c r="L35" s="77"/>
      <c r="M35" s="77"/>
      <c r="N35" s="77"/>
      <c r="O35" s="77"/>
      <c r="P35" s="77"/>
      <c r="Q35" s="77"/>
      <c r="R35" s="77"/>
      <c r="S35" s="77"/>
      <c r="T35" s="77"/>
      <c r="U35" s="354"/>
      <c r="V35" s="77"/>
      <c r="W35" s="77"/>
      <c r="X35" s="77"/>
      <c r="Y35" s="77"/>
      <c r="Z35" s="77"/>
      <c r="AA35" s="355"/>
      <c r="AB35" s="355"/>
      <c r="AC35" s="355"/>
      <c r="AD35" s="355"/>
      <c r="AE35" s="355"/>
    </row>
    <row r="36" spans="1:31" s="216" customFormat="1" ht="0.75" customHeight="1">
      <c r="A36" s="1445"/>
      <c r="B36" s="1446"/>
      <c r="C36" s="338"/>
      <c r="D36" s="349"/>
      <c r="E36" s="356"/>
      <c r="F36" s="357"/>
      <c r="G36" s="352"/>
      <c r="H36" s="358"/>
      <c r="I36" s="358"/>
      <c r="J36" s="353"/>
      <c r="K36" s="77" t="str">
        <f t="shared" si="0"/>
        <v/>
      </c>
      <c r="L36" s="77"/>
      <c r="M36" s="77"/>
      <c r="N36" s="77"/>
      <c r="O36" s="77"/>
      <c r="P36" s="77"/>
      <c r="Q36" s="77"/>
      <c r="R36" s="77"/>
      <c r="S36" s="77"/>
      <c r="T36" s="77"/>
      <c r="U36" s="354"/>
      <c r="V36" s="77"/>
      <c r="W36" s="77"/>
      <c r="X36" s="77"/>
      <c r="Y36" s="77"/>
      <c r="Z36" s="77"/>
      <c r="AA36" s="355"/>
      <c r="AB36" s="355"/>
      <c r="AC36" s="355"/>
      <c r="AD36" s="355"/>
      <c r="AE36" s="355"/>
    </row>
    <row r="37" spans="1:31" s="216" customFormat="1" ht="0.75" customHeight="1">
      <c r="A37" s="1445"/>
      <c r="B37" s="1446"/>
      <c r="C37" s="338"/>
      <c r="D37" s="349"/>
      <c r="E37" s="356"/>
      <c r="F37" s="357"/>
      <c r="G37" s="352"/>
      <c r="H37" s="358"/>
      <c r="I37" s="358"/>
      <c r="J37" s="353"/>
      <c r="K37" s="77" t="str">
        <f t="shared" si="0"/>
        <v/>
      </c>
      <c r="L37" s="77"/>
      <c r="M37" s="77"/>
      <c r="N37" s="77"/>
      <c r="O37" s="77"/>
      <c r="P37" s="77"/>
      <c r="Q37" s="77"/>
      <c r="R37" s="77"/>
      <c r="S37" s="77"/>
      <c r="T37" s="77"/>
      <c r="U37" s="354"/>
      <c r="V37" s="77"/>
      <c r="W37" s="77"/>
      <c r="X37" s="77"/>
      <c r="Y37" s="77"/>
      <c r="Z37" s="77"/>
      <c r="AA37" s="355"/>
      <c r="AB37" s="355"/>
      <c r="AC37" s="355"/>
      <c r="AD37" s="355"/>
      <c r="AE37" s="355"/>
    </row>
    <row r="38" spans="1:31" s="216" customFormat="1" ht="0.75" customHeight="1">
      <c r="A38" s="1445"/>
      <c r="B38" s="1446"/>
      <c r="C38" s="338"/>
      <c r="D38" s="349"/>
      <c r="E38" s="356"/>
      <c r="F38" s="357"/>
      <c r="G38" s="352"/>
      <c r="H38" s="358"/>
      <c r="I38" s="358"/>
      <c r="J38" s="353"/>
      <c r="K38" s="77" t="str">
        <f t="shared" si="0"/>
        <v/>
      </c>
      <c r="L38" s="77"/>
      <c r="M38" s="77"/>
      <c r="N38" s="77"/>
      <c r="O38" s="77"/>
      <c r="P38" s="77"/>
      <c r="Q38" s="77"/>
      <c r="R38" s="77"/>
      <c r="S38" s="77"/>
      <c r="T38" s="77"/>
      <c r="U38" s="354"/>
      <c r="V38" s="77"/>
      <c r="W38" s="77"/>
      <c r="X38" s="77"/>
      <c r="Y38" s="77"/>
      <c r="Z38" s="77"/>
      <c r="AA38" s="355"/>
      <c r="AB38" s="355"/>
      <c r="AC38" s="355"/>
      <c r="AD38" s="355"/>
      <c r="AE38" s="355"/>
    </row>
    <row r="39" spans="1:31" s="216" customFormat="1" ht="0.75" customHeight="1">
      <c r="A39" s="1445"/>
      <c r="B39" s="1446"/>
      <c r="C39" s="338"/>
      <c r="D39" s="349"/>
      <c r="E39" s="356"/>
      <c r="F39" s="357"/>
      <c r="G39" s="352"/>
      <c r="H39" s="310"/>
      <c r="I39" s="310"/>
      <c r="J39" s="353"/>
      <c r="K39" s="77" t="str">
        <f t="shared" si="0"/>
        <v/>
      </c>
      <c r="L39" s="77"/>
      <c r="M39" s="77"/>
      <c r="N39" s="77"/>
      <c r="O39" s="77"/>
      <c r="P39" s="77"/>
      <c r="Q39" s="77"/>
      <c r="R39" s="77"/>
      <c r="S39" s="77"/>
      <c r="T39" s="77"/>
      <c r="U39" s="354"/>
      <c r="V39" s="77"/>
      <c r="W39" s="77"/>
      <c r="X39" s="77"/>
      <c r="Y39" s="77"/>
      <c r="Z39" s="77"/>
      <c r="AA39" s="355"/>
      <c r="AB39" s="355"/>
      <c r="AC39" s="355"/>
      <c r="AD39" s="355"/>
      <c r="AE39" s="355"/>
    </row>
    <row r="40" spans="1:31" s="72" customFormat="1" ht="15" customHeight="1">
      <c r="A40" s="1445"/>
      <c r="C40" s="77"/>
      <c r="D40" s="86"/>
      <c r="E40" s="359"/>
      <c r="F40" s="117" t="s">
        <v>1735</v>
      </c>
      <c r="G40" s="360"/>
      <c r="H40" s="361"/>
      <c r="I40" s="361"/>
      <c r="J40" s="180"/>
      <c r="K40" s="77" t="str">
        <f t="shared" si="0"/>
        <v/>
      </c>
      <c r="L40" s="77"/>
      <c r="M40" s="77"/>
      <c r="R40" s="77"/>
      <c r="U40" s="334"/>
      <c r="AA40" s="54"/>
      <c r="AB40" s="54"/>
      <c r="AC40" s="54"/>
      <c r="AD40" s="54"/>
      <c r="AE40" s="54"/>
    </row>
    <row r="41" spans="1:31" ht="11.25" hidden="1" customHeight="1">
      <c r="A41" s="1445" t="s">
        <v>1736</v>
      </c>
      <c r="D41" s="214"/>
      <c r="E41" s="336" t="str">
        <f>FHD_NUM_P_5</f>
        <v/>
      </c>
      <c r="F41" s="348" t="str">
        <f>FHD_P_5</f>
        <v/>
      </c>
      <c r="G41" s="50" t="s">
        <v>1723</v>
      </c>
      <c r="H41" s="346"/>
      <c r="I41" s="346"/>
      <c r="J41" s="76" t="str">
        <f>FHD_NOTE_P_5</f>
        <v/>
      </c>
      <c r="K41" s="77" t="str">
        <f t="shared" si="0"/>
        <v/>
      </c>
    </row>
    <row r="42" spans="1:31" ht="11.25" hidden="1" customHeight="1">
      <c r="A42" s="1445"/>
      <c r="D42" s="214"/>
      <c r="E42" s="336" t="str">
        <f>FHD_NUM_P_6</f>
        <v/>
      </c>
      <c r="F42" s="348" t="str">
        <f>FHD_P_6</f>
        <v/>
      </c>
      <c r="G42" s="50" t="s">
        <v>1723</v>
      </c>
      <c r="H42" s="346"/>
      <c r="I42" s="346"/>
      <c r="J42" s="76" t="str">
        <f>FHD_NOTE_P_6</f>
        <v/>
      </c>
      <c r="K42" s="77" t="str">
        <f t="shared" si="0"/>
        <v/>
      </c>
    </row>
    <row r="43" spans="1:31" ht="11.25" hidden="1" customHeight="1">
      <c r="A43" s="1445"/>
      <c r="D43" s="214"/>
      <c r="E43" s="336" t="str">
        <f>FHD_NUM_P_7</f>
        <v/>
      </c>
      <c r="F43" s="348" t="str">
        <f>FHD_P_7</f>
        <v/>
      </c>
      <c r="G43" s="50" t="s">
        <v>1723</v>
      </c>
      <c r="H43" s="346"/>
      <c r="I43" s="346"/>
      <c r="J43" s="76" t="str">
        <f>FHD_NOTE_P_7</f>
        <v/>
      </c>
      <c r="K43" s="77" t="str">
        <f t="shared" si="0"/>
        <v/>
      </c>
    </row>
    <row r="44" spans="1:31" ht="11.25" customHeight="1">
      <c r="D44" s="214"/>
      <c r="E44" s="336" t="str">
        <f>FHD_NUM_P_8</f>
        <v>2.3</v>
      </c>
      <c r="F44" s="348" t="str">
        <f>FHD_P_8</f>
        <v>Расходы на приобретаемую электрическую энергию (мощность), используемую в технологическом процессе</v>
      </c>
      <c r="G44" s="50" t="s">
        <v>1723</v>
      </c>
      <c r="H44" s="346"/>
      <c r="I44" s="346"/>
      <c r="J44" s="76" t="str">
        <f>FHD_NOTE_P_8</f>
        <v/>
      </c>
      <c r="K44" s="77" t="str">
        <f t="shared" si="0"/>
        <v>p</v>
      </c>
    </row>
    <row r="45" spans="1:31" ht="11.25" customHeight="1">
      <c r="D45" s="214"/>
      <c r="E45" s="336" t="str">
        <f>FHD_NUM_P_9</f>
        <v>2.3.1</v>
      </c>
      <c r="F45" s="364" t="str">
        <f>FHD_P_9</f>
        <v>Средневзвешенная стоимость 1 кВт.ч (с учетом мощности)</v>
      </c>
      <c r="G45" s="50" t="s">
        <v>1617</v>
      </c>
      <c r="H45" s="346"/>
      <c r="I45" s="346"/>
      <c r="J45" s="76" t="str">
        <f>FHD_NOTE_P_9</f>
        <v/>
      </c>
      <c r="K45" s="77" t="str">
        <f t="shared" si="0"/>
        <v/>
      </c>
    </row>
    <row r="46" spans="1:31" s="72" customFormat="1" ht="11.25" customHeight="1">
      <c r="A46" s="613"/>
      <c r="C46" s="77"/>
      <c r="D46" s="362"/>
      <c r="E46" s="336" t="str">
        <f>FHD_NUM_P_10</f>
        <v>2.3.2</v>
      </c>
      <c r="F46" s="364" t="str">
        <f>FHD_P_10</f>
        <v>Объём приобретения электрической энергии</v>
      </c>
      <c r="G46" s="50" t="s">
        <v>1737</v>
      </c>
      <c r="H46" s="346"/>
      <c r="I46" s="346"/>
      <c r="J46" s="76" t="str">
        <f>FHD_NOTE_P_10</f>
        <v/>
      </c>
      <c r="K46" s="77" t="str">
        <f t="shared" si="0"/>
        <v/>
      </c>
      <c r="L46" s="77"/>
      <c r="M46" s="77"/>
      <c r="R46" s="77"/>
      <c r="U46" s="334"/>
      <c r="AA46" s="54"/>
      <c r="AB46" s="54"/>
      <c r="AC46" s="54"/>
      <c r="AD46" s="54"/>
      <c r="AE46" s="54"/>
    </row>
    <row r="47" spans="1:31" s="72" customFormat="1" ht="11.25" customHeight="1">
      <c r="A47" s="615" t="s">
        <v>1738</v>
      </c>
      <c r="C47" s="77"/>
      <c r="D47" s="363"/>
      <c r="E47" s="336" t="str">
        <f>FHD_NUM_P_11</f>
        <v>2.4</v>
      </c>
      <c r="F47" s="348" t="str">
        <f>FHD_P_11</f>
        <v>Расходы на приобретение холодной воды, используемой в технологическом процессе</v>
      </c>
      <c r="G47" s="50" t="s">
        <v>1723</v>
      </c>
      <c r="H47" s="346"/>
      <c r="I47" s="346"/>
      <c r="J47" s="76" t="str">
        <f>FHD_NOTE_P_11</f>
        <v/>
      </c>
      <c r="K47" s="77" t="str">
        <f t="shared" si="0"/>
        <v>p</v>
      </c>
      <c r="L47" s="77"/>
      <c r="M47" s="77"/>
      <c r="R47" s="77"/>
      <c r="U47" s="334"/>
      <c r="AA47" s="54"/>
      <c r="AB47" s="54"/>
      <c r="AC47" s="54"/>
      <c r="AD47" s="54"/>
      <c r="AE47" s="54"/>
    </row>
    <row r="48" spans="1:31" s="72" customFormat="1" ht="18" customHeight="1">
      <c r="A48" s="615" t="s">
        <v>1739</v>
      </c>
      <c r="C48" s="77"/>
      <c r="D48" s="214"/>
      <c r="E48" s="336" t="str">
        <f>FHD_NUM_P_12</f>
        <v>2.5</v>
      </c>
      <c r="F48" s="348" t="str">
        <f>FHD_P_12</f>
        <v>Расходы на химические реагенты, используемые в технологическом процессе</v>
      </c>
      <c r="G48" s="50" t="s">
        <v>1723</v>
      </c>
      <c r="H48" s="365"/>
      <c r="I48" s="365"/>
      <c r="J48" s="76" t="str">
        <f>FHD_NOTE_P_12</f>
        <v/>
      </c>
      <c r="K48" s="77" t="str">
        <f t="shared" si="0"/>
        <v>p</v>
      </c>
      <c r="L48" s="77"/>
      <c r="M48" s="77"/>
      <c r="R48" s="77"/>
      <c r="U48" s="334"/>
      <c r="AA48" s="54"/>
      <c r="AB48" s="54"/>
      <c r="AC48" s="54"/>
      <c r="AD48" s="54"/>
      <c r="AE48" s="54"/>
    </row>
    <row r="49" spans="1:31" s="452" customFormat="1" ht="11.25" customHeight="1">
      <c r="A49" s="614"/>
      <c r="C49" s="318"/>
      <c r="D49" s="409"/>
      <c r="E49" s="336" t="str">
        <f>FHD_NUM_P_13</f>
        <v>2.6</v>
      </c>
      <c r="F49" s="34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50" t="s">
        <v>1723</v>
      </c>
      <c r="H49" s="346"/>
      <c r="I49" s="346"/>
      <c r="J49" s="76" t="str">
        <f>FHD_NOTE_P_13</f>
        <v/>
      </c>
      <c r="K49" s="77" t="str">
        <f t="shared" si="0"/>
        <v>p</v>
      </c>
      <c r="L49" s="318"/>
      <c r="M49" s="318"/>
      <c r="R49" s="318"/>
      <c r="U49" s="453"/>
      <c r="AA49" s="454"/>
      <c r="AB49" s="454"/>
      <c r="AC49" s="454"/>
      <c r="AD49" s="454"/>
      <c r="AE49" s="454"/>
    </row>
    <row r="50" spans="1:31" s="452" customFormat="1" ht="11.25" customHeight="1">
      <c r="A50" s="614"/>
      <c r="C50" s="318"/>
      <c r="D50" s="409"/>
      <c r="E50" s="336" t="str">
        <f>FHD_NUM_P_14</f>
        <v>2.6.1</v>
      </c>
      <c r="F50" s="364" t="str">
        <f>FHD_P_14</f>
        <v>Расходы на оплату труда основного производственного персонала</v>
      </c>
      <c r="G50" s="50" t="s">
        <v>1723</v>
      </c>
      <c r="H50" s="346"/>
      <c r="I50" s="346"/>
      <c r="J50" s="76" t="str">
        <f>FHD_NOTE_P_14</f>
        <v/>
      </c>
      <c r="K50" s="77" t="str">
        <f t="shared" si="0"/>
        <v/>
      </c>
      <c r="L50" s="318"/>
      <c r="M50" s="318"/>
      <c r="R50" s="318"/>
      <c r="U50" s="453"/>
      <c r="AA50" s="454"/>
      <c r="AB50" s="454"/>
      <c r="AC50" s="454"/>
      <c r="AD50" s="454"/>
      <c r="AE50" s="454"/>
    </row>
    <row r="51" spans="1:31" s="452" customFormat="1" ht="11.25" customHeight="1">
      <c r="A51" s="614"/>
      <c r="C51" s="318"/>
      <c r="D51" s="409"/>
      <c r="E51" s="336" t="str">
        <f>FHD_NUM_P_15</f>
        <v>2.6.2</v>
      </c>
      <c r="F51" s="364" t="str">
        <f>FHD_P_15</f>
        <v>Страховые взносы на обязательное социальное страхование, выплачиваемые из фонда оплаты труда основного производственного персонала</v>
      </c>
      <c r="G51" s="50" t="s">
        <v>1723</v>
      </c>
      <c r="H51" s="346"/>
      <c r="I51" s="346"/>
      <c r="J51" s="76" t="str">
        <f>FHD_NOTE_P_15</f>
        <v/>
      </c>
      <c r="K51" s="77" t="str">
        <f t="shared" si="0"/>
        <v/>
      </c>
      <c r="L51" s="318"/>
      <c r="M51" s="318"/>
      <c r="R51" s="318"/>
      <c r="U51" s="453"/>
      <c r="AA51" s="454"/>
      <c r="AB51" s="454"/>
      <c r="AC51" s="454"/>
      <c r="AD51" s="454"/>
      <c r="AE51" s="454"/>
    </row>
    <row r="52" spans="1:31" s="72" customFormat="1" ht="11.25" customHeight="1">
      <c r="A52" s="613"/>
      <c r="C52" s="77"/>
      <c r="D52" s="214"/>
      <c r="E52" s="336" t="str">
        <f>FHD_NUM_P_16</f>
        <v>2.7</v>
      </c>
      <c r="F52" s="34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50" t="s">
        <v>1723</v>
      </c>
      <c r="H52" s="346"/>
      <c r="I52" s="346"/>
      <c r="J52" s="76" t="str">
        <f>FHD_NOTE_P_16</f>
        <v/>
      </c>
      <c r="K52" s="77" t="str">
        <f t="shared" si="0"/>
        <v>p</v>
      </c>
      <c r="L52" s="77"/>
      <c r="M52" s="77"/>
      <c r="R52" s="77"/>
      <c r="U52" s="334"/>
      <c r="AA52" s="54"/>
      <c r="AB52" s="54"/>
      <c r="AC52" s="54"/>
      <c r="AD52" s="54"/>
      <c r="AE52" s="54"/>
    </row>
    <row r="53" spans="1:31" s="72" customFormat="1" ht="11.25" customHeight="1">
      <c r="A53" s="613"/>
      <c r="C53" s="77"/>
      <c r="D53" s="214"/>
      <c r="E53" s="336" t="str">
        <f>FHD_NUM_P_17</f>
        <v>2.7.1</v>
      </c>
      <c r="F53" s="364" t="str">
        <f>FHD_P_17</f>
        <v>Расходы на оплату труда административно-управленческого персонала</v>
      </c>
      <c r="G53" s="50" t="s">
        <v>1723</v>
      </c>
      <c r="H53" s="346"/>
      <c r="I53" s="346"/>
      <c r="J53" s="76" t="str">
        <f>FHD_NOTE_P_17</f>
        <v/>
      </c>
      <c r="K53" s="77" t="str">
        <f t="shared" si="0"/>
        <v/>
      </c>
      <c r="L53" s="77"/>
      <c r="M53" s="77"/>
      <c r="R53" s="77"/>
      <c r="U53" s="334"/>
      <c r="AA53" s="54"/>
      <c r="AB53" s="54"/>
      <c r="AC53" s="54"/>
      <c r="AD53" s="54"/>
      <c r="AE53" s="54"/>
    </row>
    <row r="54" spans="1:31" s="72" customFormat="1" ht="11.25" customHeight="1">
      <c r="A54" s="613"/>
      <c r="C54" s="77"/>
      <c r="D54" s="214"/>
      <c r="E54" s="336" t="str">
        <f>FHD_NUM_P_18</f>
        <v>2.7.2</v>
      </c>
      <c r="F54" s="36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50" t="s">
        <v>1723</v>
      </c>
      <c r="H54" s="346"/>
      <c r="I54" s="346"/>
      <c r="J54" s="76" t="str">
        <f>FHD_NOTE_P_18</f>
        <v/>
      </c>
      <c r="K54" s="77" t="str">
        <f t="shared" si="0"/>
        <v/>
      </c>
      <c r="L54" s="77"/>
      <c r="M54" s="77"/>
      <c r="R54" s="77"/>
      <c r="U54" s="334"/>
      <c r="AA54" s="54"/>
      <c r="AB54" s="54"/>
      <c r="AC54" s="54"/>
      <c r="AD54" s="54"/>
      <c r="AE54" s="54"/>
    </row>
    <row r="55" spans="1:31" s="72" customFormat="1" ht="11.25" customHeight="1">
      <c r="A55" s="613"/>
      <c r="C55" s="77"/>
      <c r="D55" s="363"/>
      <c r="E55" s="336" t="str">
        <f>FHD_NUM_P_19</f>
        <v>2.8</v>
      </c>
      <c r="F55" s="348" t="str">
        <f>FHD_P_19</f>
        <v>Расходы на амортизацию основных средств и нематериальных активов</v>
      </c>
      <c r="G55" s="50" t="s">
        <v>1723</v>
      </c>
      <c r="H55" s="346"/>
      <c r="I55" s="346"/>
      <c r="J55" s="76" t="str">
        <f>FHD_NOTE_P_19</f>
        <v/>
      </c>
      <c r="K55" s="77" t="str">
        <f t="shared" si="0"/>
        <v>p</v>
      </c>
      <c r="L55" s="77"/>
      <c r="M55" s="77"/>
      <c r="R55" s="77"/>
      <c r="U55" s="334"/>
      <c r="AA55" s="54"/>
      <c r="AB55" s="54"/>
      <c r="AC55" s="54"/>
      <c r="AD55" s="54"/>
      <c r="AE55" s="54"/>
    </row>
    <row r="56" spans="1:31" s="72" customFormat="1" ht="11.25" customHeight="1">
      <c r="A56" s="613"/>
      <c r="C56" s="77"/>
      <c r="D56" s="363"/>
      <c r="E56" s="336" t="str">
        <f>FHD_NUM_P_20</f>
        <v>2.8.1</v>
      </c>
      <c r="F56" s="364" t="str">
        <f>FHD_P_20</f>
        <v>Расходы на амортизацию основных средств</v>
      </c>
      <c r="G56" s="50" t="s">
        <v>1723</v>
      </c>
      <c r="H56" s="346"/>
      <c r="I56" s="346"/>
      <c r="J56" s="76" t="str">
        <f>FHD_NOTE_P_20</f>
        <v/>
      </c>
      <c r="K56" s="77" t="str">
        <f t="shared" si="0"/>
        <v/>
      </c>
      <c r="L56" s="77"/>
      <c r="M56" s="77"/>
      <c r="R56" s="77"/>
      <c r="U56" s="334"/>
      <c r="AA56" s="54"/>
      <c r="AB56" s="54"/>
      <c r="AC56" s="54"/>
      <c r="AD56" s="54"/>
      <c r="AE56" s="54"/>
    </row>
    <row r="57" spans="1:31" s="72" customFormat="1" ht="11.25" customHeight="1">
      <c r="A57" s="613"/>
      <c r="C57" s="77"/>
      <c r="D57" s="363"/>
      <c r="E57" s="336" t="str">
        <f>FHD_NUM_P_21</f>
        <v>2.8.2</v>
      </c>
      <c r="F57" s="364" t="str">
        <f>FHD_P_21</f>
        <v>Расходы на амортизацию нематериальных активов</v>
      </c>
      <c r="G57" s="50" t="s">
        <v>1723</v>
      </c>
      <c r="H57" s="346"/>
      <c r="I57" s="346"/>
      <c r="J57" s="76" t="str">
        <f>FHD_NOTE_P_21</f>
        <v/>
      </c>
      <c r="K57" s="77" t="str">
        <f t="shared" si="0"/>
        <v/>
      </c>
      <c r="L57" s="77"/>
      <c r="M57" s="77"/>
      <c r="R57" s="77"/>
      <c r="U57" s="334"/>
      <c r="AA57" s="54"/>
      <c r="AB57" s="54"/>
      <c r="AC57" s="54"/>
      <c r="AD57" s="54"/>
      <c r="AE57" s="54"/>
    </row>
    <row r="58" spans="1:31" s="72" customFormat="1" ht="11.25" customHeight="1">
      <c r="A58" s="613"/>
      <c r="C58" s="77"/>
      <c r="D58" s="214"/>
      <c r="E58" s="336" t="str">
        <f>FHD_NUM_P_22</f>
        <v>2.9</v>
      </c>
      <c r="F58" s="348" t="str">
        <f>FHD_P_22</f>
        <v>Расходы на аренду имущества, используемого для осуществления регулируемого вида деятельности</v>
      </c>
      <c r="G58" s="50" t="s">
        <v>1723</v>
      </c>
      <c r="H58" s="346"/>
      <c r="I58" s="346"/>
      <c r="J58" s="76" t="str">
        <f>FHD_NOTE_P_22</f>
        <v/>
      </c>
      <c r="K58" s="77" t="str">
        <f t="shared" si="0"/>
        <v>p</v>
      </c>
      <c r="L58" s="77"/>
      <c r="M58" s="77"/>
      <c r="R58" s="77"/>
      <c r="U58" s="334"/>
      <c r="AA58" s="54"/>
      <c r="AB58" s="54"/>
      <c r="AC58" s="54"/>
      <c r="AD58" s="54"/>
      <c r="AE58" s="54"/>
    </row>
    <row r="59" spans="1:31" s="72" customFormat="1" ht="11.25" customHeight="1">
      <c r="A59" s="613"/>
      <c r="C59" s="77"/>
      <c r="D59" s="363"/>
      <c r="E59" s="336" t="str">
        <f>FHD_NUM_P_23</f>
        <v>2.10</v>
      </c>
      <c r="F59" s="348" t="str">
        <f>FHD_P_23</f>
        <v>Общепроизводственные расходы, в том числе:</v>
      </c>
      <c r="G59" s="50" t="s">
        <v>1723</v>
      </c>
      <c r="H59" s="346"/>
      <c r="I59" s="346"/>
      <c r="J59" s="76" t="str">
        <f>FHD_NOTE_P_23</f>
        <v>Указывается общая сумма общепроизводственных расходов.</v>
      </c>
      <c r="K59" s="77" t="str">
        <f t="shared" si="0"/>
        <v>p</v>
      </c>
      <c r="L59" s="77"/>
      <c r="M59" s="77"/>
      <c r="R59" s="77"/>
      <c r="U59" s="334"/>
      <c r="AA59" s="54"/>
      <c r="AB59" s="54"/>
      <c r="AC59" s="54"/>
      <c r="AD59" s="54"/>
      <c r="AE59" s="54"/>
    </row>
    <row r="60" spans="1:31" s="72" customFormat="1" ht="11.25" customHeight="1">
      <c r="A60" s="613"/>
      <c r="C60" s="77"/>
      <c r="D60" s="363"/>
      <c r="E60" s="336" t="str">
        <f>FHD_NUM_P_24</f>
        <v>2.10.1</v>
      </c>
      <c r="F60" s="364" t="str">
        <f>FHD_P_24</f>
        <v>Расходы на текущий ремонт</v>
      </c>
      <c r="G60" s="50" t="s">
        <v>1723</v>
      </c>
      <c r="H60" s="346"/>
      <c r="I60" s="346"/>
      <c r="J60" s="76" t="str">
        <f>FHD_NOTE_P_24</f>
        <v>Указываются расходы на текущий ремонт, отнесенные к общепроизводственным расходам.</v>
      </c>
      <c r="K60" s="77" t="str">
        <f t="shared" si="0"/>
        <v/>
      </c>
      <c r="L60" s="77"/>
      <c r="M60" s="77"/>
      <c r="R60" s="77"/>
      <c r="U60" s="334"/>
      <c r="AA60" s="54"/>
      <c r="AB60" s="54"/>
      <c r="AC60" s="54"/>
      <c r="AD60" s="54"/>
      <c r="AE60" s="54"/>
    </row>
    <row r="61" spans="1:31" s="72" customFormat="1" ht="11.25" customHeight="1">
      <c r="A61" s="613"/>
      <c r="C61" s="77"/>
      <c r="D61" s="363"/>
      <c r="E61" s="336" t="str">
        <f>FHD_NUM_P_25</f>
        <v>2.10.2</v>
      </c>
      <c r="F61" s="364" t="str">
        <f>FHD_P_25</f>
        <v>Расходы на капитальный ремонт</v>
      </c>
      <c r="G61" s="50" t="s">
        <v>1723</v>
      </c>
      <c r="H61" s="346"/>
      <c r="I61" s="346"/>
      <c r="J61" s="76" t="str">
        <f>FHD_NOTE_P_25</f>
        <v>Указываются расходы на капитальный ремонт, отнесенные к общепроизводственным расходам.</v>
      </c>
      <c r="K61" s="77" t="str">
        <f t="shared" si="0"/>
        <v/>
      </c>
      <c r="L61" s="77"/>
      <c r="M61" s="77"/>
      <c r="R61" s="77"/>
      <c r="U61" s="334"/>
      <c r="AA61" s="54"/>
      <c r="AB61" s="54"/>
      <c r="AC61" s="54"/>
      <c r="AD61" s="54"/>
      <c r="AE61" s="54"/>
    </row>
    <row r="62" spans="1:31" s="72" customFormat="1" ht="11.25" customHeight="1">
      <c r="A62" s="613"/>
      <c r="C62" s="77"/>
      <c r="D62" s="214"/>
      <c r="E62" s="336" t="str">
        <f>FHD_NUM_P_26</f>
        <v>2.11</v>
      </c>
      <c r="F62" s="348" t="str">
        <f>FHD_P_26</f>
        <v>Общехозяйственные расходы, в том числе:</v>
      </c>
      <c r="G62" s="50" t="s">
        <v>1723</v>
      </c>
      <c r="H62" s="346"/>
      <c r="I62" s="346"/>
      <c r="J62" s="76" t="str">
        <f>FHD_NOTE_P_26</f>
        <v>Указывается общая сумма общехозяйственных расходов.</v>
      </c>
      <c r="K62" s="77" t="str">
        <f t="shared" si="0"/>
        <v>p</v>
      </c>
      <c r="L62" s="77"/>
      <c r="M62" s="77"/>
      <c r="R62" s="77"/>
      <c r="U62" s="334"/>
      <c r="AA62" s="54"/>
      <c r="AB62" s="54"/>
      <c r="AC62" s="54"/>
      <c r="AD62" s="54"/>
      <c r="AE62" s="54"/>
    </row>
    <row r="63" spans="1:31" s="72" customFormat="1" ht="11.25" customHeight="1">
      <c r="A63" s="613"/>
      <c r="C63" s="77"/>
      <c r="D63" s="214"/>
      <c r="E63" s="336" t="str">
        <f>FHD_NUM_P_27</f>
        <v>2.11.1</v>
      </c>
      <c r="F63" s="364" t="str">
        <f>FHD_P_27</f>
        <v>Расходы на текущий ремонт</v>
      </c>
      <c r="G63" s="50" t="s">
        <v>1723</v>
      </c>
      <c r="H63" s="346"/>
      <c r="I63" s="346"/>
      <c r="J63" s="76" t="str">
        <f>FHD_NOTE_P_27</f>
        <v>Указываются расходы на текущий ремонт, отнесенные к общехозяйственным расходам.</v>
      </c>
      <c r="K63" s="77" t="str">
        <f t="shared" si="0"/>
        <v/>
      </c>
      <c r="L63" s="77"/>
      <c r="M63" s="77"/>
      <c r="R63" s="77"/>
      <c r="U63" s="334"/>
      <c r="AA63" s="54"/>
      <c r="AB63" s="54"/>
      <c r="AC63" s="54"/>
      <c r="AD63" s="54"/>
      <c r="AE63" s="54"/>
    </row>
    <row r="64" spans="1:31" s="72" customFormat="1" ht="11.25" customHeight="1">
      <c r="A64" s="613"/>
      <c r="C64" s="77"/>
      <c r="D64" s="214"/>
      <c r="E64" s="336" t="str">
        <f>FHD_NUM_P_28</f>
        <v>2.11.2</v>
      </c>
      <c r="F64" s="364" t="str">
        <f>FHD_P_28</f>
        <v>Расходы на капитальный ремонт</v>
      </c>
      <c r="G64" s="50" t="s">
        <v>1723</v>
      </c>
      <c r="H64" s="346"/>
      <c r="I64" s="346"/>
      <c r="J64" s="76" t="str">
        <f>FHD_NOTE_P_28</f>
        <v>Указываются расходы на капитальный ремонт, отнесенные к общехозяйственным расходам.</v>
      </c>
      <c r="K64" s="77" t="str">
        <f t="shared" si="0"/>
        <v/>
      </c>
      <c r="L64" s="77"/>
      <c r="M64" s="77"/>
      <c r="R64" s="77"/>
      <c r="U64" s="334"/>
      <c r="AA64" s="54"/>
      <c r="AB64" s="54"/>
      <c r="AC64" s="54"/>
      <c r="AD64" s="54"/>
      <c r="AE64" s="54"/>
    </row>
    <row r="65" spans="1:31" s="72" customFormat="1" ht="11.25" customHeight="1">
      <c r="A65" s="613"/>
      <c r="C65" s="77"/>
      <c r="D65" s="214"/>
      <c r="E65" s="336" t="str">
        <f>FHD_NUM_P_29</f>
        <v>2.12</v>
      </c>
      <c r="F65" s="348" t="str">
        <f>FHD_P_29</f>
        <v>Расходы на капитальный и текущий ремонт основных средств</v>
      </c>
      <c r="G65" s="50" t="s">
        <v>1723</v>
      </c>
      <c r="H65" s="346"/>
      <c r="I65" s="346"/>
      <c r="J65" s="76"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77" t="str">
        <f t="shared" si="0"/>
        <v>p</v>
      </c>
      <c r="L65" s="77"/>
      <c r="M65" s="77"/>
      <c r="R65" s="77"/>
      <c r="U65" s="334"/>
      <c r="AA65" s="54"/>
      <c r="AB65" s="54"/>
      <c r="AC65" s="54"/>
      <c r="AD65" s="54"/>
      <c r="AE65" s="54"/>
    </row>
    <row r="66" spans="1:31" s="72" customFormat="1" ht="11.25" customHeight="1">
      <c r="A66" s="613"/>
      <c r="C66" s="77"/>
      <c r="D66" s="214"/>
      <c r="E66" s="336" t="str">
        <f>FHD_NUM_P_30</f>
        <v>2.12.1</v>
      </c>
      <c r="F66" s="36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50" t="s">
        <v>298</v>
      </c>
      <c r="H66" s="118" t="s">
        <v>1426</v>
      </c>
      <c r="I66" s="118" t="s">
        <v>1426</v>
      </c>
      <c r="J66" s="76" t="str">
        <f>FHD_NOTE_P_30</f>
        <v/>
      </c>
      <c r="K66" s="77" t="str">
        <f t="shared" si="0"/>
        <v/>
      </c>
      <c r="L66" s="77">
        <f>IFERROR(MATCH("есть",B_FHD_FLAG_INDEX_1,0),0)</f>
        <v>0</v>
      </c>
      <c r="M66" s="77"/>
      <c r="R66" s="77"/>
      <c r="U66" s="334"/>
      <c r="AA66" s="54"/>
      <c r="AB66" s="54"/>
      <c r="AC66" s="54"/>
      <c r="AD66" s="54"/>
      <c r="AE66" s="54"/>
    </row>
    <row r="67" spans="1:31" s="72" customFormat="1" ht="11.25" hidden="1" customHeight="1">
      <c r="A67" s="1445" t="s">
        <v>1740</v>
      </c>
      <c r="C67" s="77"/>
      <c r="D67" s="214"/>
      <c r="E67" s="336" t="str">
        <f>FHD_NUM_P_31</f>
        <v/>
      </c>
      <c r="F67" s="348" t="str">
        <f>FHD_P_31</f>
        <v/>
      </c>
      <c r="G67" s="50" t="s">
        <v>1723</v>
      </c>
      <c r="H67" s="346"/>
      <c r="I67" s="346"/>
      <c r="J67" s="76" t="str">
        <f>FHD_NOTE_P_31</f>
        <v/>
      </c>
      <c r="K67" s="77" t="str">
        <f t="shared" si="0"/>
        <v/>
      </c>
      <c r="L67" s="77"/>
      <c r="M67" s="77"/>
      <c r="R67" s="77"/>
      <c r="U67" s="334"/>
      <c r="AA67" s="54"/>
      <c r="AB67" s="54"/>
      <c r="AC67" s="54"/>
      <c r="AD67" s="54"/>
      <c r="AE67" s="54"/>
    </row>
    <row r="68" spans="1:31" s="72" customFormat="1" ht="11.25" hidden="1" customHeight="1">
      <c r="A68" s="1445"/>
      <c r="C68" s="77"/>
      <c r="D68" s="214"/>
      <c r="E68" s="336" t="str">
        <f>FHD_NUM_P_32</f>
        <v/>
      </c>
      <c r="F68" s="364" t="str">
        <f>FHD_P_32</f>
        <v/>
      </c>
      <c r="G68" s="50" t="s">
        <v>298</v>
      </c>
      <c r="H68" s="118" t="s">
        <v>1426</v>
      </c>
      <c r="I68" s="118" t="s">
        <v>1426</v>
      </c>
      <c r="J68" s="76" t="str">
        <f>FHD_NOTE_P_32</f>
        <v/>
      </c>
      <c r="K68" s="77" t="str">
        <f t="shared" si="0"/>
        <v/>
      </c>
      <c r="L68" s="77">
        <f>IFERROR(MATCH("есть",B_FHD_FLAG_INDEX_2,0),0)</f>
        <v>0</v>
      </c>
      <c r="M68" s="77"/>
      <c r="R68" s="77"/>
      <c r="U68" s="334"/>
      <c r="AA68" s="54"/>
      <c r="AB68" s="54"/>
      <c r="AC68" s="54"/>
      <c r="AD68" s="54"/>
      <c r="AE68" s="54"/>
    </row>
    <row r="69" spans="1:31" s="72" customFormat="1" ht="11.25" customHeight="1">
      <c r="A69" s="613"/>
      <c r="C69" s="77"/>
      <c r="D69" s="214"/>
      <c r="E69" s="336" t="str">
        <f>FHD_NUM_P_33</f>
        <v>2.13</v>
      </c>
      <c r="F69" s="348" t="str">
        <f>FHD_P_33</f>
        <v>Прочие расходы, которые подлежат отнесению на регулируемые виды деятельности в соответствии с законодательством Российской Федерации</v>
      </c>
      <c r="G69" s="366" t="s">
        <v>1723</v>
      </c>
      <c r="H69" s="367">
        <f>SUM(H70:H71)</f>
        <v>0</v>
      </c>
      <c r="I69" s="367">
        <f>SUM(I70:I71)</f>
        <v>0</v>
      </c>
      <c r="J69" s="76"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77" t="str">
        <f t="shared" si="0"/>
        <v>p</v>
      </c>
      <c r="L69" s="77"/>
      <c r="M69" s="77"/>
      <c r="R69" s="77"/>
      <c r="U69" s="334"/>
      <c r="AA69" s="54"/>
      <c r="AB69" s="54"/>
      <c r="AC69" s="54"/>
      <c r="AD69" s="54"/>
      <c r="AE69" s="54"/>
    </row>
    <row r="70" spans="1:31" s="77" customFormat="1" ht="0.75" customHeight="1">
      <c r="A70" s="338"/>
      <c r="D70" s="338"/>
      <c r="E70" s="341" t="str">
        <f>E69&amp;".0"</f>
        <v>2.13.0</v>
      </c>
      <c r="F70" s="617"/>
      <c r="G70" s="341"/>
      <c r="H70" s="618"/>
      <c r="I70" s="618"/>
      <c r="J70" s="619"/>
      <c r="K70" s="77" t="str">
        <f t="shared" si="0"/>
        <v/>
      </c>
    </row>
    <row r="71" spans="1:31" s="72" customFormat="1" ht="14.25" customHeight="1">
      <c r="A71" s="613"/>
      <c r="C71" s="77"/>
      <c r="D71" s="86"/>
      <c r="E71" s="359"/>
      <c r="F71" s="117" t="s">
        <v>1741</v>
      </c>
      <c r="G71" s="360"/>
      <c r="H71" s="361"/>
      <c r="I71" s="361"/>
      <c r="J71" s="180"/>
      <c r="K71" s="77"/>
      <c r="L71" s="77"/>
      <c r="M71" s="77"/>
      <c r="R71" s="77"/>
      <c r="U71" s="334"/>
      <c r="AA71" s="54"/>
      <c r="AB71" s="54"/>
      <c r="AC71" s="54"/>
      <c r="AD71" s="54"/>
      <c r="AE71" s="54"/>
    </row>
    <row r="72" spans="1:31" s="72" customFormat="1" ht="18.75" customHeight="1">
      <c r="A72" s="615" t="s">
        <v>1742</v>
      </c>
      <c r="C72" s="77"/>
      <c r="D72" s="214"/>
      <c r="E72" s="336" t="str">
        <f>FHD_NUM_P_34</f>
        <v>3</v>
      </c>
      <c r="F72" s="157" t="str">
        <f>FHD_P_34</f>
        <v>Валовая прибыль (убытки) от реализации товаров и оказания услуг по регулируемому виду деятельности</v>
      </c>
      <c r="G72" s="50" t="s">
        <v>1723</v>
      </c>
      <c r="H72" s="346"/>
      <c r="I72" s="346"/>
      <c r="J72" s="76" t="str">
        <f>FHD_NOTE_P_34</f>
        <v/>
      </c>
      <c r="K72" s="333"/>
      <c r="L72" s="77"/>
      <c r="M72" s="77"/>
      <c r="R72" s="77"/>
      <c r="U72" s="334"/>
      <c r="AA72" s="54"/>
      <c r="AB72" s="54"/>
      <c r="AC72" s="54"/>
      <c r="AD72" s="54"/>
      <c r="AE72" s="54"/>
    </row>
    <row r="73" spans="1:31" s="72" customFormat="1" ht="18.75" customHeight="1">
      <c r="A73" s="613"/>
      <c r="C73" s="77"/>
      <c r="D73" s="363"/>
      <c r="E73" s="336" t="str">
        <f>FHD_NUM_P_35</f>
        <v>4</v>
      </c>
      <c r="F73" s="157" t="str">
        <f>FHD_P_35</f>
        <v>Чистая прибыль, полученная от регулируемого вида деятельности, в том числе:</v>
      </c>
      <c r="G73" s="50" t="s">
        <v>1723</v>
      </c>
      <c r="H73" s="346"/>
      <c r="I73" s="346"/>
      <c r="J73" s="76" t="str">
        <f>FHD_NOTE_P_35</f>
        <v>Указывается общая сумма чистой прибыли, полученной от регулируемого вида деятельности.</v>
      </c>
      <c r="K73" s="333"/>
      <c r="L73" s="77"/>
      <c r="M73" s="77"/>
      <c r="R73" s="77"/>
      <c r="U73" s="334"/>
      <c r="AA73" s="54"/>
      <c r="AB73" s="54"/>
      <c r="AC73" s="54"/>
      <c r="AD73" s="54"/>
      <c r="AE73" s="54"/>
    </row>
    <row r="74" spans="1:31" s="72" customFormat="1" ht="18.75" customHeight="1">
      <c r="A74" s="613"/>
      <c r="C74" s="77"/>
      <c r="D74" s="214"/>
      <c r="E74" s="336" t="str">
        <f>FHD_NUM_P_36</f>
        <v>4.1</v>
      </c>
      <c r="F74" s="34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50" t="s">
        <v>1723</v>
      </c>
      <c r="H74" s="346"/>
      <c r="I74" s="346"/>
      <c r="J74" s="76" t="str">
        <f>FHD_NOTE_P_36</f>
        <v/>
      </c>
      <c r="K74" s="333"/>
      <c r="L74" s="77"/>
      <c r="M74" s="77"/>
      <c r="R74" s="77"/>
      <c r="U74" s="334"/>
      <c r="AA74" s="54"/>
      <c r="AB74" s="54"/>
      <c r="AC74" s="54"/>
      <c r="AD74" s="54"/>
      <c r="AE74" s="54"/>
    </row>
    <row r="75" spans="1:31" s="72" customFormat="1" ht="18.75" customHeight="1">
      <c r="A75" s="613"/>
      <c r="C75" s="77"/>
      <c r="D75" s="214"/>
      <c r="E75" s="336" t="str">
        <f>FHD_NUM_P_37</f>
        <v>5</v>
      </c>
      <c r="F75" s="157" t="str">
        <f>FHD_P_37</f>
        <v>Изменение стоимости основных фондов, в том числе:</v>
      </c>
      <c r="G75" s="50" t="s">
        <v>1723</v>
      </c>
      <c r="H75" s="346"/>
      <c r="I75" s="346"/>
      <c r="J75" s="76" t="str">
        <f>FHD_NOTE_P_37</f>
        <v>Указывается общее изменение стоимости основных фондов.</v>
      </c>
      <c r="K75" s="333"/>
      <c r="L75" s="77"/>
      <c r="M75" s="77"/>
      <c r="R75" s="77"/>
      <c r="U75" s="334"/>
      <c r="AA75" s="54"/>
      <c r="AB75" s="54"/>
      <c r="AC75" s="54"/>
      <c r="AD75" s="54"/>
      <c r="AE75" s="54"/>
    </row>
    <row r="76" spans="1:31" s="72" customFormat="1" ht="18.75" customHeight="1">
      <c r="A76" s="613"/>
      <c r="C76" s="77"/>
      <c r="D76" s="214"/>
      <c r="E76" s="336" t="str">
        <f>FHD_NUM_P_38</f>
        <v>5.1</v>
      </c>
      <c r="F76" s="348" t="str">
        <f>FHD_P_38</f>
        <v>Изменение стоимости основных фондов за счет:</v>
      </c>
      <c r="G76" s="50" t="s">
        <v>1723</v>
      </c>
      <c r="H76" s="346"/>
      <c r="I76" s="346"/>
      <c r="J76" s="76" t="str">
        <f>FHD_NOTE_P_38</f>
        <v>Указываются общее изменение стоимости основных фондов за счет их ввода в эксплуатацию и вывода из эксплуатации.</v>
      </c>
      <c r="K76" s="333"/>
      <c r="L76" s="77"/>
      <c r="M76" s="77"/>
      <c r="R76" s="77"/>
      <c r="U76" s="334"/>
      <c r="AA76" s="54"/>
      <c r="AB76" s="54"/>
      <c r="AC76" s="54"/>
      <c r="AD76" s="54"/>
      <c r="AE76" s="54"/>
    </row>
    <row r="77" spans="1:31" s="72" customFormat="1" ht="18.75" customHeight="1">
      <c r="A77" s="613"/>
      <c r="C77" s="77"/>
      <c r="D77" s="214"/>
      <c r="E77" s="336" t="str">
        <f>FHD_NUM_P_39</f>
        <v>5.1.1</v>
      </c>
      <c r="F77" s="364" t="str">
        <f>FHD_P_39</f>
        <v>Изменения стоимости основных фондов за счет их ввода в эксплуатацию</v>
      </c>
      <c r="G77" s="50" t="s">
        <v>1723</v>
      </c>
      <c r="H77" s="346"/>
      <c r="I77" s="346"/>
      <c r="J77" s="76" t="str">
        <f>FHD_NOTE_P_39</f>
        <v>Указываются изменение стоимости основных фондов за счет их ввода в эксплуатацию.</v>
      </c>
      <c r="K77" s="333"/>
      <c r="L77" s="77"/>
      <c r="M77" s="77"/>
      <c r="R77" s="77"/>
      <c r="U77" s="334"/>
      <c r="AA77" s="54"/>
      <c r="AB77" s="54"/>
      <c r="AC77" s="54"/>
      <c r="AD77" s="54"/>
      <c r="AE77" s="54"/>
    </row>
    <row r="78" spans="1:31" s="72" customFormat="1" ht="18.75" customHeight="1">
      <c r="A78" s="613"/>
      <c r="C78" s="77"/>
      <c r="D78" s="214"/>
      <c r="E78" s="336" t="str">
        <f>FHD_NUM_P_40</f>
        <v>5.1.2</v>
      </c>
      <c r="F78" s="364" t="str">
        <f>FHD_P_40</f>
        <v>Изменения стоимости основных фондов за счет их вывода в эксплуатацию</v>
      </c>
      <c r="G78" s="50" t="s">
        <v>1723</v>
      </c>
      <c r="H78" s="346"/>
      <c r="I78" s="346"/>
      <c r="J78" s="76" t="str">
        <f>FHD_NOTE_P_40</f>
        <v>Указываются изменение стоимости основных фондов за счет их вывода из эксплуатации.</v>
      </c>
      <c r="K78" s="333"/>
      <c r="L78" s="77"/>
      <c r="M78" s="77"/>
      <c r="R78" s="77"/>
      <c r="U78" s="334"/>
      <c r="AA78" s="54"/>
      <c r="AB78" s="54"/>
      <c r="AC78" s="54"/>
      <c r="AD78" s="54"/>
      <c r="AE78" s="54"/>
    </row>
    <row r="79" spans="1:31" s="72" customFormat="1" ht="18.75" customHeight="1">
      <c r="A79" s="613"/>
      <c r="C79" s="77"/>
      <c r="D79" s="214"/>
      <c r="E79" s="336" t="str">
        <f>FHD_NUM_P_41</f>
        <v>5.2</v>
      </c>
      <c r="F79" s="348" t="str">
        <f>FHD_P_41</f>
        <v>Изменение стоимости основных фондов за счет их переоценки</v>
      </c>
      <c r="G79" s="366" t="s">
        <v>1723</v>
      </c>
      <c r="H79" s="346"/>
      <c r="I79" s="346"/>
      <c r="J79" s="76" t="str">
        <f>FHD_NOTE_P_41</f>
        <v/>
      </c>
      <c r="K79" s="333"/>
      <c r="L79" s="77"/>
      <c r="M79" s="77"/>
      <c r="R79" s="77"/>
      <c r="U79" s="334"/>
      <c r="AA79" s="54"/>
      <c r="AB79" s="54"/>
      <c r="AC79" s="54"/>
      <c r="AD79" s="54"/>
      <c r="AE79" s="54"/>
    </row>
    <row r="80" spans="1:31" s="72" customFormat="1" ht="18.75" hidden="1" customHeight="1">
      <c r="A80" s="615" t="s">
        <v>1743</v>
      </c>
      <c r="C80" s="77"/>
      <c r="D80" s="214"/>
      <c r="E80" s="336" t="str">
        <f>FHD_NUM_P_42</f>
        <v/>
      </c>
      <c r="F80" s="157" t="str">
        <f>FHD_P_42</f>
        <v/>
      </c>
      <c r="G80" s="50" t="s">
        <v>1723</v>
      </c>
      <c r="H80" s="602"/>
      <c r="I80" s="346"/>
      <c r="J80" s="76" t="str">
        <f>FHD_NOTE_P_42</f>
        <v/>
      </c>
      <c r="K80" s="333"/>
      <c r="L80" s="77"/>
      <c r="M80" s="77"/>
      <c r="R80" s="77"/>
      <c r="U80" s="334"/>
      <c r="AA80" s="54"/>
      <c r="AB80" s="54"/>
      <c r="AC80" s="54"/>
      <c r="AD80" s="54"/>
      <c r="AE80" s="54"/>
    </row>
    <row r="81" spans="1:31" s="72" customFormat="1" ht="18.75" customHeight="1">
      <c r="A81" s="613"/>
      <c r="C81" s="77"/>
      <c r="D81" s="214"/>
      <c r="E81" s="336" t="str">
        <f>FHD_NUM_P_43</f>
        <v>6</v>
      </c>
      <c r="F81" s="157" t="str">
        <f>FHD_P_43</f>
        <v>Годовая бухгалтерская (финансовая) отчетность, включая бухгалтерский баланс и приложения к нему</v>
      </c>
      <c r="G81" s="50" t="s">
        <v>298</v>
      </c>
      <c r="H81" s="664"/>
      <c r="I81" s="250"/>
      <c r="J81" s="76"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333"/>
      <c r="L81" s="77"/>
      <c r="M81" s="77"/>
      <c r="R81" s="77"/>
      <c r="U81" s="334"/>
      <c r="AA81" s="54"/>
      <c r="AB81" s="54"/>
      <c r="AC81" s="54"/>
      <c r="AD81" s="54"/>
      <c r="AE81" s="54"/>
    </row>
    <row r="82" spans="1:31" s="72" customFormat="1" ht="18.75" hidden="1" customHeight="1">
      <c r="A82" s="1445" t="s">
        <v>1744</v>
      </c>
      <c r="C82" s="77"/>
      <c r="D82" s="214"/>
      <c r="E82" s="336" t="str">
        <f>FHD_NUM_P_44</f>
        <v/>
      </c>
      <c r="F82" s="157" t="str">
        <f>FHD_P_44</f>
        <v/>
      </c>
      <c r="G82" s="50" t="s">
        <v>1745</v>
      </c>
      <c r="H82" s="603"/>
      <c r="I82" s="365"/>
      <c r="J82" s="76" t="str">
        <f>FHD_NOTE_P_44</f>
        <v/>
      </c>
      <c r="K82" s="333"/>
      <c r="L82" s="77"/>
      <c r="M82" s="77"/>
      <c r="R82" s="77"/>
      <c r="U82" s="334"/>
      <c r="AA82" s="54"/>
      <c r="AB82" s="54"/>
      <c r="AC82" s="54"/>
      <c r="AD82" s="54"/>
      <c r="AE82" s="54"/>
    </row>
    <row r="83" spans="1:31" s="72" customFormat="1" ht="18.75" hidden="1" customHeight="1">
      <c r="A83" s="1445"/>
      <c r="C83" s="77"/>
      <c r="D83" s="214"/>
      <c r="E83" s="336" t="str">
        <f>FHD_NUM_P_45</f>
        <v/>
      </c>
      <c r="F83" s="157" t="str">
        <f>FHD_P_45</f>
        <v/>
      </c>
      <c r="G83" s="50" t="s">
        <v>1745</v>
      </c>
      <c r="H83" s="603"/>
      <c r="I83" s="365"/>
      <c r="J83" s="76" t="str">
        <f>FHD_NOTE_P_45</f>
        <v/>
      </c>
      <c r="K83" s="333"/>
      <c r="L83" s="77"/>
      <c r="M83" s="77"/>
      <c r="R83" s="77"/>
      <c r="U83" s="334"/>
      <c r="AA83" s="54"/>
      <c r="AB83" s="54"/>
      <c r="AC83" s="54"/>
      <c r="AD83" s="54"/>
      <c r="AE83" s="54"/>
    </row>
    <row r="84" spans="1:31" s="72" customFormat="1" ht="18.75" hidden="1" customHeight="1">
      <c r="A84" s="1445"/>
      <c r="C84" s="77"/>
      <c r="D84" s="363"/>
      <c r="E84" s="336" t="str">
        <f>FHD_NUM_P_46</f>
        <v/>
      </c>
      <c r="F84" s="157" t="str">
        <f>FHD_P_46</f>
        <v/>
      </c>
      <c r="G84" s="50" t="s">
        <v>1745</v>
      </c>
      <c r="H84" s="603"/>
      <c r="I84" s="365"/>
      <c r="J84" s="76" t="str">
        <f>FHD_NOTE_P_46</f>
        <v/>
      </c>
      <c r="K84" s="333"/>
      <c r="L84" s="77"/>
      <c r="M84" s="77"/>
      <c r="R84" s="77"/>
      <c r="U84" s="334"/>
      <c r="AA84" s="54"/>
      <c r="AB84" s="54"/>
      <c r="AC84" s="54"/>
      <c r="AD84" s="54"/>
      <c r="AE84" s="54"/>
    </row>
    <row r="85" spans="1:31" s="72" customFormat="1" ht="18.75" hidden="1" customHeight="1">
      <c r="A85" s="1445"/>
      <c r="C85" s="77"/>
      <c r="D85" s="214"/>
      <c r="E85" s="336" t="str">
        <f>FHD_NUM_P_47</f>
        <v/>
      </c>
      <c r="F85" s="157" t="str">
        <f>FHD_P_47</f>
        <v/>
      </c>
      <c r="G85" s="50" t="s">
        <v>1745</v>
      </c>
      <c r="H85" s="603"/>
      <c r="I85" s="365"/>
      <c r="J85" s="76" t="str">
        <f>FHD_NOTE_P_47</f>
        <v/>
      </c>
      <c r="K85" s="333"/>
      <c r="L85" s="77"/>
      <c r="M85" s="77"/>
      <c r="R85" s="77"/>
      <c r="U85" s="334"/>
      <c r="AA85" s="54"/>
      <c r="AB85" s="54"/>
      <c r="AC85" s="54"/>
      <c r="AD85" s="54"/>
      <c r="AE85" s="54"/>
    </row>
    <row r="86" spans="1:31" s="24" customFormat="1" ht="18.75" hidden="1" customHeight="1">
      <c r="A86" s="1445"/>
      <c r="B86" s="72"/>
      <c r="C86" s="77"/>
      <c r="D86" s="214"/>
      <c r="E86" s="336" t="str">
        <f>FHD_NUM_P_48</f>
        <v/>
      </c>
      <c r="F86" s="157" t="str">
        <f>FHD_P_48</f>
        <v/>
      </c>
      <c r="G86" s="50" t="s">
        <v>1745</v>
      </c>
      <c r="H86" s="603"/>
      <c r="I86" s="365"/>
      <c r="J86" s="76" t="str">
        <f>FHD_NOTE_P_48</f>
        <v/>
      </c>
      <c r="K86" s="333"/>
      <c r="L86" s="77"/>
      <c r="M86" s="77"/>
      <c r="N86" s="72"/>
      <c r="O86" s="72"/>
      <c r="P86" s="72"/>
      <c r="Q86" s="72"/>
      <c r="R86" s="77"/>
      <c r="S86" s="72"/>
      <c r="T86" s="72"/>
      <c r="U86" s="334"/>
      <c r="V86" s="72"/>
      <c r="W86" s="72"/>
      <c r="X86" s="72"/>
      <c r="Y86" s="72"/>
      <c r="Z86" s="72"/>
      <c r="AA86" s="54"/>
      <c r="AB86" s="54"/>
      <c r="AC86" s="54"/>
      <c r="AD86" s="54"/>
      <c r="AE86" s="54"/>
    </row>
    <row r="87" spans="1:31" s="24" customFormat="1" ht="18.75" hidden="1" customHeight="1">
      <c r="A87" s="1445"/>
      <c r="B87" s="72"/>
      <c r="C87" s="77"/>
      <c r="D87" s="214"/>
      <c r="E87" s="336" t="str">
        <f>FHD_NUM_P_49</f>
        <v/>
      </c>
      <c r="F87" s="157" t="str">
        <f>FHD_P_49</f>
        <v/>
      </c>
      <c r="G87" s="50" t="s">
        <v>1745</v>
      </c>
      <c r="H87" s="604">
        <f>SUM(H88:H89)</f>
        <v>0</v>
      </c>
      <c r="I87" s="461">
        <f>SUM(I88:I89)</f>
        <v>0</v>
      </c>
      <c r="J87" s="76" t="str">
        <f>FHD_NOTE_P_49</f>
        <v/>
      </c>
      <c r="K87" s="333"/>
      <c r="L87" s="77"/>
      <c r="M87" s="77"/>
      <c r="N87" s="72"/>
      <c r="O87" s="72"/>
      <c r="P87" s="72"/>
      <c r="Q87" s="72"/>
      <c r="R87" s="77"/>
      <c r="S87" s="72"/>
      <c r="T87" s="72"/>
      <c r="U87" s="334"/>
      <c r="V87" s="72"/>
      <c r="W87" s="72"/>
      <c r="X87" s="72"/>
      <c r="Y87" s="72"/>
      <c r="Z87" s="72"/>
      <c r="AA87" s="54"/>
      <c r="AB87" s="54"/>
      <c r="AC87" s="54"/>
      <c r="AD87" s="54"/>
      <c r="AE87" s="54"/>
    </row>
    <row r="88" spans="1:31" s="24" customFormat="1" ht="18.75" hidden="1" customHeight="1">
      <c r="A88" s="1445"/>
      <c r="B88" s="72"/>
      <c r="C88" s="77"/>
      <c r="D88" s="214"/>
      <c r="E88" s="336" t="str">
        <f>FHD_NUM_P_50</f>
        <v/>
      </c>
      <c r="F88" s="157" t="str">
        <f>FHD_P_50</f>
        <v/>
      </c>
      <c r="G88" s="50" t="s">
        <v>1745</v>
      </c>
      <c r="H88" s="603"/>
      <c r="I88" s="365"/>
      <c r="J88" s="76" t="str">
        <f>FHD_NOTE_P_50</f>
        <v/>
      </c>
      <c r="K88" s="333"/>
      <c r="L88" s="77"/>
      <c r="M88" s="77"/>
      <c r="N88" s="72"/>
      <c r="O88" s="72"/>
      <c r="P88" s="72"/>
      <c r="Q88" s="72"/>
      <c r="R88" s="77"/>
      <c r="S88" s="72"/>
      <c r="T88" s="72"/>
      <c r="U88" s="334"/>
      <c r="V88" s="72"/>
      <c r="W88" s="72"/>
      <c r="X88" s="72"/>
      <c r="Y88" s="72"/>
      <c r="Z88" s="72"/>
      <c r="AA88" s="54"/>
      <c r="AB88" s="54"/>
      <c r="AC88" s="54"/>
      <c r="AD88" s="54"/>
      <c r="AE88" s="54"/>
    </row>
    <row r="89" spans="1:31" s="24" customFormat="1" ht="18.75" hidden="1" customHeight="1">
      <c r="A89" s="1445"/>
      <c r="B89" s="72"/>
      <c r="C89" s="77"/>
      <c r="D89" s="214"/>
      <c r="E89" s="336" t="str">
        <f>FHD_NUM_P_51</f>
        <v/>
      </c>
      <c r="F89" s="157" t="str">
        <f>FHD_P_51</f>
        <v/>
      </c>
      <c r="G89" s="50" t="s">
        <v>1745</v>
      </c>
      <c r="H89" s="603"/>
      <c r="I89" s="365"/>
      <c r="J89" s="76" t="str">
        <f>FHD_NOTE_P_51</f>
        <v/>
      </c>
      <c r="K89" s="333"/>
      <c r="L89" s="77"/>
      <c r="M89" s="77"/>
      <c r="N89" s="72"/>
      <c r="O89" s="72"/>
      <c r="P89" s="72"/>
      <c r="Q89" s="72"/>
      <c r="R89" s="77"/>
      <c r="S89" s="72"/>
      <c r="T89" s="72"/>
      <c r="U89" s="334"/>
      <c r="V89" s="72"/>
      <c r="W89" s="72"/>
      <c r="X89" s="72"/>
      <c r="Y89" s="72"/>
      <c r="Z89" s="72"/>
      <c r="AA89" s="54"/>
      <c r="AB89" s="54"/>
      <c r="AC89" s="54"/>
      <c r="AD89" s="54"/>
      <c r="AE89" s="54"/>
    </row>
    <row r="90" spans="1:31" s="24" customFormat="1" ht="18.75" hidden="1" customHeight="1">
      <c r="A90" s="1445"/>
      <c r="B90" s="72"/>
      <c r="C90" s="77"/>
      <c r="D90" s="214"/>
      <c r="E90" s="336" t="str">
        <f>FHD_NUM_P_52</f>
        <v/>
      </c>
      <c r="F90" s="157" t="str">
        <f>FHD_P_52</f>
        <v/>
      </c>
      <c r="G90" s="50" t="s">
        <v>1619</v>
      </c>
      <c r="H90" s="602"/>
      <c r="I90" s="346"/>
      <c r="J90" s="76" t="str">
        <f>FHD_NOTE_P_52</f>
        <v/>
      </c>
      <c r="K90" s="333"/>
      <c r="L90" s="77"/>
      <c r="M90" s="77"/>
      <c r="N90" s="72"/>
      <c r="O90" s="72"/>
      <c r="P90" s="72"/>
      <c r="Q90" s="72"/>
      <c r="R90" s="77"/>
      <c r="S90" s="72"/>
      <c r="T90" s="72"/>
      <c r="U90" s="334"/>
      <c r="V90" s="72"/>
      <c r="W90" s="72"/>
      <c r="X90" s="72"/>
      <c r="Y90" s="72"/>
      <c r="Z90" s="72"/>
      <c r="AA90" s="54"/>
      <c r="AB90" s="54"/>
      <c r="AC90" s="54"/>
      <c r="AD90" s="54"/>
      <c r="AE90" s="54"/>
    </row>
    <row r="91" spans="1:31" s="72" customFormat="1" ht="18.75" hidden="1" customHeight="1">
      <c r="A91" s="1445" t="s">
        <v>1746</v>
      </c>
      <c r="C91" s="77"/>
      <c r="D91" s="214"/>
      <c r="E91" s="336" t="str">
        <f>FHD_NUM_P_53</f>
        <v/>
      </c>
      <c r="F91" s="157" t="str">
        <f>FHD_P_53</f>
        <v/>
      </c>
      <c r="G91" s="50" t="s">
        <v>1745</v>
      </c>
      <c r="H91" s="603"/>
      <c r="I91" s="365"/>
      <c r="J91" s="76" t="str">
        <f>FHD_NOTE_P_53</f>
        <v/>
      </c>
      <c r="K91" s="333"/>
      <c r="L91" s="77"/>
      <c r="M91" s="77"/>
      <c r="R91" s="77"/>
      <c r="U91" s="334"/>
      <c r="AA91" s="54"/>
      <c r="AB91" s="54"/>
      <c r="AC91" s="54"/>
      <c r="AD91" s="54"/>
      <c r="AE91" s="54"/>
    </row>
    <row r="92" spans="1:31" s="72" customFormat="1" ht="18.75" hidden="1" customHeight="1">
      <c r="A92" s="1445"/>
      <c r="C92" s="77"/>
      <c r="D92" s="214"/>
      <c r="E92" s="336" t="str">
        <f>FHD_NUM_P_54</f>
        <v/>
      </c>
      <c r="F92" s="157" t="str">
        <f>FHD_P_54</f>
        <v/>
      </c>
      <c r="G92" s="50" t="s">
        <v>1745</v>
      </c>
      <c r="H92" s="603"/>
      <c r="I92" s="365"/>
      <c r="J92" s="76" t="str">
        <f>FHD_NOTE_P_54</f>
        <v/>
      </c>
      <c r="K92" s="333"/>
      <c r="L92" s="77"/>
      <c r="M92" s="77"/>
      <c r="R92" s="77"/>
      <c r="U92" s="334"/>
      <c r="AA92" s="54"/>
      <c r="AB92" s="54"/>
      <c r="AC92" s="54"/>
      <c r="AD92" s="54"/>
      <c r="AE92" s="54"/>
    </row>
    <row r="93" spans="1:31" s="72" customFormat="1" ht="18.75" hidden="1" customHeight="1">
      <c r="A93" s="1445"/>
      <c r="C93" s="77"/>
      <c r="D93" s="363"/>
      <c r="E93" s="336" t="str">
        <f>FHD_NUM_P_55</f>
        <v/>
      </c>
      <c r="F93" s="157" t="str">
        <f>FHD_P_55</f>
        <v/>
      </c>
      <c r="G93" s="553"/>
      <c r="H93" s="603"/>
      <c r="I93" s="365"/>
      <c r="J93" s="76" t="str">
        <f>FHD_NOTE_P_55</f>
        <v/>
      </c>
      <c r="K93" s="333"/>
      <c r="L93" s="77"/>
      <c r="M93" s="77"/>
      <c r="R93" s="77"/>
      <c r="U93" s="334"/>
      <c r="AA93" s="54"/>
      <c r="AB93" s="54"/>
      <c r="AC93" s="54"/>
      <c r="AD93" s="54"/>
      <c r="AE93" s="54"/>
    </row>
    <row r="94" spans="1:31" s="72" customFormat="1" ht="18.75" hidden="1" customHeight="1">
      <c r="A94" s="1445"/>
      <c r="C94" s="77"/>
      <c r="D94" s="214"/>
      <c r="E94" s="336" t="str">
        <f>FHD_NUM_P_56</f>
        <v/>
      </c>
      <c r="F94" s="157" t="str">
        <f>FHD_P_56</f>
        <v/>
      </c>
      <c r="G94" s="50" t="s">
        <v>1016</v>
      </c>
      <c r="H94" s="603"/>
      <c r="I94" s="365"/>
      <c r="J94" s="76" t="str">
        <f>FHD_NOTE_P_56</f>
        <v/>
      </c>
      <c r="K94" s="333"/>
      <c r="L94" s="77"/>
      <c r="M94" s="77"/>
      <c r="R94" s="77"/>
      <c r="U94" s="334"/>
      <c r="AA94" s="54"/>
      <c r="AB94" s="54"/>
      <c r="AC94" s="54"/>
      <c r="AD94" s="54"/>
      <c r="AE94" s="54"/>
    </row>
    <row r="95" spans="1:31" s="24" customFormat="1" ht="18.75" hidden="1" customHeight="1">
      <c r="A95" s="1445"/>
      <c r="B95" s="72"/>
      <c r="C95" s="77"/>
      <c r="D95" s="214"/>
      <c r="E95" s="336" t="str">
        <f>FHD_NUM_P_57</f>
        <v/>
      </c>
      <c r="F95" s="157" t="str">
        <f>FHD_P_57</f>
        <v/>
      </c>
      <c r="G95" s="50" t="s">
        <v>1619</v>
      </c>
      <c r="H95" s="602"/>
      <c r="I95" s="346"/>
      <c r="J95" s="76" t="str">
        <f>FHD_NOTE_P_57</f>
        <v/>
      </c>
      <c r="K95" s="333"/>
      <c r="L95" s="77"/>
      <c r="M95" s="77"/>
      <c r="N95" s="72"/>
      <c r="O95" s="72"/>
      <c r="P95" s="72"/>
      <c r="Q95" s="72"/>
      <c r="R95" s="77"/>
      <c r="S95" s="72"/>
      <c r="T95" s="72"/>
      <c r="U95" s="334"/>
      <c r="V95" s="72"/>
      <c r="W95" s="72"/>
      <c r="X95" s="72"/>
      <c r="Y95" s="72"/>
      <c r="Z95" s="72"/>
      <c r="AA95" s="54"/>
      <c r="AB95" s="54"/>
      <c r="AC95" s="54"/>
      <c r="AD95" s="54"/>
      <c r="AE95" s="54"/>
    </row>
    <row r="96" spans="1:31" ht="18.75" hidden="1" customHeight="1">
      <c r="A96" s="1445" t="s">
        <v>1747</v>
      </c>
      <c r="D96" s="214"/>
      <c r="E96" s="336" t="str">
        <f>FHD_NUM_P_58</f>
        <v/>
      </c>
      <c r="F96" s="157" t="str">
        <f>FHD_P_58</f>
        <v/>
      </c>
      <c r="G96" s="50" t="s">
        <v>1745</v>
      </c>
      <c r="H96" s="603"/>
      <c r="I96" s="365"/>
      <c r="J96" s="76" t="str">
        <f>FHD_NOTE_P_58</f>
        <v/>
      </c>
      <c r="K96" s="333"/>
    </row>
    <row r="97" spans="1:31" ht="18.75" hidden="1" customHeight="1">
      <c r="A97" s="1445"/>
      <c r="D97" s="214"/>
      <c r="E97" s="336" t="str">
        <f>FHD_NUM_P_59</f>
        <v/>
      </c>
      <c r="F97" s="157" t="str">
        <f>FHD_P_59</f>
        <v/>
      </c>
      <c r="G97" s="50" t="s">
        <v>1745</v>
      </c>
      <c r="H97" s="603"/>
      <c r="I97" s="365"/>
      <c r="J97" s="76" t="str">
        <f>FHD_NOTE_P_59</f>
        <v/>
      </c>
      <c r="K97" s="333"/>
    </row>
    <row r="98" spans="1:31" ht="18.75" hidden="1" customHeight="1">
      <c r="A98" s="1445"/>
      <c r="D98" s="214"/>
      <c r="E98" s="336" t="str">
        <f>FHD_NUM_P_60</f>
        <v/>
      </c>
      <c r="F98" s="157" t="str">
        <f>FHD_P_60</f>
        <v/>
      </c>
      <c r="G98" s="50" t="s">
        <v>1745</v>
      </c>
      <c r="H98" s="603"/>
      <c r="I98" s="365"/>
      <c r="J98" s="76" t="str">
        <f>FHD_NOTE_P_60</f>
        <v/>
      </c>
      <c r="K98" s="333"/>
    </row>
    <row r="99" spans="1:31" s="72" customFormat="1" ht="18.75" customHeight="1">
      <c r="A99" s="1445" t="s">
        <v>1748</v>
      </c>
      <c r="C99" s="77"/>
      <c r="D99" s="214"/>
      <c r="E99" s="336" t="str">
        <f>FHD_NUM_P_61</f>
        <v>7</v>
      </c>
      <c r="F99" s="157"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50" t="s">
        <v>800</v>
      </c>
      <c r="H99" s="605"/>
      <c r="I99" s="457"/>
      <c r="J99" s="76"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333"/>
      <c r="L99" s="77"/>
      <c r="M99" s="77"/>
      <c r="R99" s="77"/>
      <c r="U99" s="334"/>
      <c r="AA99" s="54"/>
      <c r="AB99" s="54"/>
      <c r="AC99" s="54"/>
      <c r="AD99" s="54"/>
      <c r="AE99" s="54"/>
    </row>
    <row r="100" spans="1:31" s="77" customFormat="1" ht="0.75" customHeight="1">
      <c r="A100" s="1445"/>
      <c r="D100" s="338"/>
      <c r="E100" s="341" t="str">
        <f>E99&amp;".0"</f>
        <v>7.0</v>
      </c>
      <c r="F100" s="620"/>
      <c r="G100" s="621"/>
      <c r="H100" s="618"/>
      <c r="I100" s="618"/>
      <c r="J100" s="622"/>
    </row>
    <row r="101" spans="1:31" ht="15" customHeight="1">
      <c r="A101" s="1445"/>
      <c r="D101" s="86"/>
      <c r="E101" s="599"/>
      <c r="F101" s="600" t="s">
        <v>1557</v>
      </c>
      <c r="G101" s="360"/>
      <c r="H101" s="361"/>
      <c r="I101" s="361"/>
      <c r="J101" s="211" t="s">
        <v>1749</v>
      </c>
      <c r="K101" s="333"/>
    </row>
    <row r="102" spans="1:31" s="72" customFormat="1" ht="18.75" customHeight="1">
      <c r="A102" s="1445"/>
      <c r="C102" s="77"/>
      <c r="D102" s="214"/>
      <c r="E102" s="336" t="str">
        <f>FHD_NUM_P_62</f>
        <v>8</v>
      </c>
      <c r="F102" s="157" t="str">
        <f>FHD_P_62</f>
        <v>Тепловая нагрузка по договорам, заключенным в рамках осуществления регулируемых видов деятельности</v>
      </c>
      <c r="G102" s="422" t="s">
        <v>800</v>
      </c>
      <c r="H102" s="346"/>
      <c r="I102" s="346"/>
      <c r="J102" s="76"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333"/>
      <c r="L102" s="77"/>
      <c r="M102" s="77"/>
      <c r="R102" s="77"/>
      <c r="U102" s="334"/>
      <c r="AA102" s="54"/>
      <c r="AB102" s="54"/>
      <c r="AC102" s="54"/>
      <c r="AD102" s="54"/>
      <c r="AE102" s="54"/>
    </row>
    <row r="103" spans="1:31" s="72" customFormat="1" ht="18.75" customHeight="1">
      <c r="A103" s="1445"/>
      <c r="C103" s="77"/>
      <c r="D103" s="214"/>
      <c r="E103" s="336" t="str">
        <f>FHD_NUM_P_63</f>
        <v>9</v>
      </c>
      <c r="F103" s="157" t="str">
        <f>FHD_P_63</f>
        <v>Объем вырабатываемой регулируемой организацией тепловой энергии в рамках осуществления регулируемых видов деятельности</v>
      </c>
      <c r="G103" s="422" t="s">
        <v>1016</v>
      </c>
      <c r="H103" s="365"/>
      <c r="I103" s="365"/>
      <c r="J103" s="76"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333"/>
      <c r="L103" s="77"/>
      <c r="M103" s="77"/>
      <c r="R103" s="77"/>
      <c r="U103" s="334"/>
      <c r="AA103" s="54"/>
      <c r="AB103" s="54"/>
      <c r="AC103" s="54"/>
      <c r="AD103" s="54"/>
      <c r="AE103" s="54"/>
    </row>
    <row r="104" spans="1:31" s="72" customFormat="1" ht="18.75" customHeight="1">
      <c r="A104" s="1445"/>
      <c r="C104" s="77" t="s">
        <v>1750</v>
      </c>
      <c r="D104" s="214"/>
      <c r="E104" s="336" t="str">
        <f>FHD_NUM_P_64</f>
        <v>9.1</v>
      </c>
      <c r="F104" s="157" t="str">
        <f>FHD_P_64</f>
        <v>Объем приобретаемой регулируемой организацией тепловой энергии в рамках осуществления регулируемых видов деятельности</v>
      </c>
      <c r="G104" s="422" t="s">
        <v>1016</v>
      </c>
      <c r="H104" s="335"/>
      <c r="I104" s="335"/>
      <c r="J104" s="76" t="str">
        <f>FHD_NOTE_P_64</f>
        <v>Информация указывается только едиными теплоснабжающими организациями.</v>
      </c>
      <c r="K104" s="333"/>
      <c r="L104" s="77"/>
      <c r="M104" s="77"/>
      <c r="R104" s="77"/>
      <c r="U104" s="334"/>
      <c r="AA104" s="54"/>
      <c r="AB104" s="54"/>
      <c r="AC104" s="54"/>
      <c r="AD104" s="54"/>
      <c r="AE104" s="54"/>
    </row>
    <row r="105" spans="1:31" s="72" customFormat="1" ht="18.75" customHeight="1">
      <c r="A105" s="1445"/>
      <c r="C105" s="77"/>
      <c r="D105" s="214"/>
      <c r="E105" s="336" t="str">
        <f>FHD_NUM_P_65</f>
        <v>10</v>
      </c>
      <c r="F105" s="157"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422" t="s">
        <v>1016</v>
      </c>
      <c r="H105" s="365"/>
      <c r="I105" s="365"/>
      <c r="J105" s="76"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333"/>
      <c r="L105" s="77"/>
      <c r="M105" s="77"/>
      <c r="R105" s="77"/>
      <c r="U105" s="334"/>
      <c r="AA105" s="54"/>
      <c r="AB105" s="54"/>
      <c r="AC105" s="54"/>
      <c r="AD105" s="54"/>
      <c r="AE105" s="54"/>
    </row>
    <row r="106" spans="1:31" s="72" customFormat="1" ht="18.75" customHeight="1">
      <c r="A106" s="1445"/>
      <c r="C106" s="77"/>
      <c r="D106" s="214"/>
      <c r="E106" s="336" t="str">
        <f>FHD_NUM_P_66</f>
        <v>10.1</v>
      </c>
      <c r="F106" s="348" t="str">
        <f>FHD_P_66</f>
        <v xml:space="preserve">По приборам учёта </v>
      </c>
      <c r="G106" s="422" t="s">
        <v>1016</v>
      </c>
      <c r="H106" s="365"/>
      <c r="I106" s="365"/>
      <c r="J106" s="76" t="str">
        <f>FHD_NOTE_P_66</f>
        <v/>
      </c>
      <c r="K106" s="333"/>
      <c r="L106" s="77"/>
      <c r="M106" s="77"/>
      <c r="R106" s="77"/>
      <c r="U106" s="334"/>
      <c r="AA106" s="54"/>
      <c r="AB106" s="54"/>
      <c r="AC106" s="54"/>
      <c r="AD106" s="54"/>
      <c r="AE106" s="54"/>
    </row>
    <row r="107" spans="1:31" s="72" customFormat="1" ht="18.75" customHeight="1">
      <c r="A107" s="1445"/>
      <c r="C107" s="77"/>
      <c r="D107" s="214"/>
      <c r="E107" s="336" t="str">
        <f>FHD_NUM_P_67</f>
        <v>10.1.1</v>
      </c>
      <c r="F107" s="364"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422" t="s">
        <v>1016</v>
      </c>
      <c r="H107" s="365"/>
      <c r="I107" s="365"/>
      <c r="J107" s="76" t="str">
        <f>FHD_NOTE_P_67</f>
        <v/>
      </c>
      <c r="K107" s="333"/>
      <c r="L107" s="77"/>
      <c r="M107" s="77"/>
      <c r="R107" s="77"/>
      <c r="U107" s="334"/>
      <c r="AA107" s="54"/>
      <c r="AB107" s="54"/>
      <c r="AC107" s="54"/>
      <c r="AD107" s="54"/>
      <c r="AE107" s="54"/>
    </row>
    <row r="108" spans="1:31" s="72" customFormat="1" ht="18.75" customHeight="1">
      <c r="A108" s="1445"/>
      <c r="C108" s="77"/>
      <c r="D108" s="214"/>
      <c r="E108" s="336" t="str">
        <f>FHD_NUM_P_68</f>
        <v>10.2</v>
      </c>
      <c r="F108" s="348" t="str">
        <f>FHD_P_68</f>
        <v>Расчётным путём</v>
      </c>
      <c r="G108" s="422" t="s">
        <v>1016</v>
      </c>
      <c r="H108" s="365"/>
      <c r="I108" s="365"/>
      <c r="J108" s="76" t="str">
        <f>FHD_NOTE_P_68</f>
        <v/>
      </c>
      <c r="K108" s="333"/>
      <c r="L108" s="77"/>
      <c r="M108" s="77"/>
      <c r="R108" s="77"/>
      <c r="U108" s="334"/>
      <c r="AA108" s="54"/>
      <c r="AB108" s="54"/>
      <c r="AC108" s="54"/>
      <c r="AD108" s="54"/>
      <c r="AE108" s="54"/>
    </row>
    <row r="109" spans="1:31" s="72" customFormat="1" ht="18.75" customHeight="1">
      <c r="A109" s="1445"/>
      <c r="C109" s="77"/>
      <c r="D109" s="214"/>
      <c r="E109" s="336" t="str">
        <f>FHD_NUM_P_69</f>
        <v>10.3</v>
      </c>
      <c r="F109" s="348" t="str">
        <f>FHD_P_69</f>
        <v>По нормативам потребления коммунальных услуг и нормативам потребления коммунальных ресурсов</v>
      </c>
      <c r="G109" s="422" t="s">
        <v>1016</v>
      </c>
      <c r="H109" s="365"/>
      <c r="I109" s="365"/>
      <c r="J109" s="76" t="str">
        <f>FHD_NOTE_P_69</f>
        <v/>
      </c>
      <c r="K109" s="333"/>
      <c r="L109" s="77"/>
      <c r="M109" s="77"/>
      <c r="R109" s="77"/>
      <c r="U109" s="334"/>
      <c r="AA109" s="54"/>
      <c r="AB109" s="54"/>
      <c r="AC109" s="54"/>
      <c r="AD109" s="54"/>
      <c r="AE109" s="54"/>
    </row>
    <row r="110" spans="1:31" s="72" customFormat="1" ht="22.5" customHeight="1">
      <c r="A110" s="1445"/>
      <c r="C110" s="77"/>
      <c r="D110" s="214"/>
      <c r="E110" s="336" t="str">
        <f>FHD_NUM_P_70</f>
        <v>11</v>
      </c>
      <c r="F110" s="157" t="str">
        <f>FHD_P_70</f>
        <v>Нормативы технологических потерь при передаче тепловой энергии, теплоносителя по тепловым сетям, утвержденные уполномоченным органом</v>
      </c>
      <c r="G110" s="422" t="s">
        <v>1751</v>
      </c>
      <c r="H110" s="346"/>
      <c r="I110" s="346"/>
      <c r="J110" s="76" t="str">
        <f>FHD_NOTE_P_70</f>
        <v/>
      </c>
      <c r="K110" s="333"/>
      <c r="L110" s="77"/>
      <c r="M110" s="77"/>
      <c r="R110" s="77"/>
      <c r="U110" s="334"/>
      <c r="AA110" s="54"/>
      <c r="AB110" s="54"/>
      <c r="AC110" s="54"/>
      <c r="AD110" s="54"/>
      <c r="AE110" s="54"/>
    </row>
    <row r="111" spans="1:31" s="72" customFormat="1" ht="22.5" customHeight="1">
      <c r="A111" s="1445"/>
      <c r="C111" s="77"/>
      <c r="D111" s="214"/>
      <c r="E111" s="336" t="str">
        <f>FHD_NUM_P_71</f>
        <v>12</v>
      </c>
      <c r="F111" s="157" t="str">
        <f>FHD_P_71</f>
        <v>Фактический объем потерь при передаче тепловой энергии</v>
      </c>
      <c r="G111" s="422" t="s">
        <v>1751</v>
      </c>
      <c r="H111" s="346"/>
      <c r="I111" s="346"/>
      <c r="J111" s="76" t="str">
        <f>FHD_NOTE_P_71</f>
        <v/>
      </c>
      <c r="K111" s="333"/>
      <c r="L111" s="77"/>
      <c r="M111" s="77"/>
      <c r="R111" s="77"/>
      <c r="U111" s="334"/>
      <c r="AA111" s="54"/>
      <c r="AB111" s="54"/>
      <c r="AC111" s="54"/>
      <c r="AD111" s="54"/>
      <c r="AE111" s="54"/>
    </row>
    <row r="112" spans="1:31" ht="18.75" customHeight="1">
      <c r="D112" s="214"/>
      <c r="E112" s="336" t="str">
        <f>FHD_NUM_P_72</f>
        <v>13</v>
      </c>
      <c r="F112" s="157" t="str">
        <f>FHD_P_72</f>
        <v>Среднесписочная численность основного производственного персонала</v>
      </c>
      <c r="G112" s="422" t="s">
        <v>1752</v>
      </c>
      <c r="H112" s="365"/>
      <c r="I112" s="365"/>
      <c r="J112" s="76" t="str">
        <f>FHD_NOTE_P_72</f>
        <v/>
      </c>
      <c r="K112" s="333"/>
    </row>
    <row r="113" spans="1:31" ht="18.75" customHeight="1">
      <c r="A113" s="615" t="s">
        <v>1753</v>
      </c>
      <c r="D113" s="214"/>
      <c r="E113" s="336" t="str">
        <f>FHD_NUM_P_73</f>
        <v>14</v>
      </c>
      <c r="F113" s="157" t="str">
        <f>FHD_P_73</f>
        <v>Среднесписочная численность административно-управленческого персонала</v>
      </c>
      <c r="G113" s="598" t="s">
        <v>1752</v>
      </c>
      <c r="H113" s="597"/>
      <c r="I113" s="597"/>
      <c r="J113" s="76" t="str">
        <f>FHD_NOTE_P_73</f>
        <v/>
      </c>
      <c r="K113" s="333"/>
    </row>
    <row r="114" spans="1:31" ht="33.75" hidden="1" customHeight="1">
      <c r="A114" s="615" t="s">
        <v>1754</v>
      </c>
      <c r="D114" s="214"/>
      <c r="E114" s="336" t="str">
        <f>FHD_NUM_P_74</f>
        <v/>
      </c>
      <c r="F114" s="157" t="str">
        <f>FHD_P_74</f>
        <v/>
      </c>
      <c r="G114" s="422" t="s">
        <v>1755</v>
      </c>
      <c r="H114" s="365"/>
      <c r="I114" s="365"/>
      <c r="J114" s="76" t="str">
        <f>FHD_NOTE_P_74</f>
        <v/>
      </c>
      <c r="K114" s="333"/>
    </row>
    <row r="115" spans="1:31" s="24" customFormat="1" ht="18.75" hidden="1" customHeight="1">
      <c r="A115" s="1445" t="s">
        <v>1756</v>
      </c>
      <c r="B115" s="72"/>
      <c r="C115" s="77"/>
      <c r="D115" s="214"/>
      <c r="E115" s="336" t="str">
        <f>FHD_NUM_P_75</f>
        <v/>
      </c>
      <c r="F115" s="157" t="str">
        <f>FHD_P_75</f>
        <v/>
      </c>
      <c r="G115" s="422" t="s">
        <v>1619</v>
      </c>
      <c r="H115" s="346"/>
      <c r="I115" s="346"/>
      <c r="J115" s="76" t="str">
        <f>FHD_NOTE_P_75</f>
        <v/>
      </c>
      <c r="K115" s="333"/>
      <c r="L115" s="77"/>
      <c r="M115" s="77"/>
      <c r="N115" s="72"/>
      <c r="O115" s="72"/>
      <c r="P115" s="72"/>
      <c r="Q115" s="72"/>
      <c r="R115" s="77"/>
      <c r="S115" s="72"/>
      <c r="T115" s="72"/>
      <c r="U115" s="334"/>
      <c r="V115" s="72"/>
      <c r="W115" s="72"/>
      <c r="X115" s="72"/>
      <c r="Y115" s="72"/>
      <c r="Z115" s="72"/>
      <c r="AA115" s="54"/>
      <c r="AB115" s="54"/>
      <c r="AC115" s="54"/>
      <c r="AD115" s="54"/>
      <c r="AE115" s="54"/>
    </row>
    <row r="116" spans="1:31" s="24" customFormat="1" ht="18.75" hidden="1" customHeight="1">
      <c r="A116" s="1445"/>
      <c r="B116" s="72"/>
      <c r="C116" s="77"/>
      <c r="D116" s="214"/>
      <c r="E116" s="336" t="str">
        <f>FHD_NUM_P_76</f>
        <v/>
      </c>
      <c r="F116" s="157" t="str">
        <f>FHD_P_76</f>
        <v/>
      </c>
      <c r="G116" s="422" t="s">
        <v>1619</v>
      </c>
      <c r="H116" s="346"/>
      <c r="I116" s="346"/>
      <c r="J116" s="76" t="str">
        <f>FHD_NOTE_P_76</f>
        <v/>
      </c>
      <c r="K116" s="333"/>
      <c r="L116" s="77"/>
      <c r="M116" s="77"/>
      <c r="N116" s="72"/>
      <c r="O116" s="72"/>
      <c r="P116" s="72"/>
      <c r="Q116" s="72"/>
      <c r="R116" s="77"/>
      <c r="S116" s="72"/>
      <c r="T116" s="72"/>
      <c r="U116" s="334"/>
      <c r="V116" s="72"/>
      <c r="W116" s="72"/>
      <c r="X116" s="72"/>
      <c r="Y116" s="72"/>
      <c r="Z116" s="72"/>
      <c r="AA116" s="54"/>
      <c r="AB116" s="54"/>
      <c r="AC116" s="54"/>
      <c r="AD116" s="54"/>
      <c r="AE116" s="54"/>
    </row>
    <row r="117" spans="1:31" s="24" customFormat="1" ht="18.75" hidden="1" customHeight="1">
      <c r="A117" s="1445"/>
      <c r="B117" s="72"/>
      <c r="C117" s="77"/>
      <c r="D117" s="214"/>
      <c r="E117" s="336" t="str">
        <f>FHD_NUM_P_77</f>
        <v/>
      </c>
      <c r="F117" s="157" t="str">
        <f>FHD_P_77</f>
        <v/>
      </c>
      <c r="G117" s="422" t="s">
        <v>1619</v>
      </c>
      <c r="H117" s="346"/>
      <c r="I117" s="346"/>
      <c r="J117" s="76" t="str">
        <f>FHD_NOTE_P_77</f>
        <v/>
      </c>
      <c r="K117" s="333"/>
      <c r="L117" s="77"/>
      <c r="M117" s="77"/>
      <c r="N117" s="72"/>
      <c r="O117" s="72"/>
      <c r="P117" s="72"/>
      <c r="Q117" s="72"/>
      <c r="R117" s="77"/>
      <c r="S117" s="72"/>
      <c r="T117" s="72"/>
      <c r="U117" s="334"/>
      <c r="V117" s="72"/>
      <c r="W117" s="72"/>
      <c r="X117" s="72"/>
      <c r="Y117" s="72"/>
      <c r="Z117" s="72"/>
      <c r="AA117" s="54"/>
      <c r="AB117" s="54"/>
      <c r="AC117" s="54"/>
      <c r="AD117" s="54"/>
      <c r="AE117" s="54"/>
    </row>
    <row r="118" spans="1:31" s="77" customFormat="1" ht="0.75" hidden="1" customHeight="1">
      <c r="A118" s="1445"/>
      <c r="D118" s="338"/>
      <c r="E118" s="341" t="str">
        <f>E117&amp;".0"</f>
        <v>.0</v>
      </c>
      <c r="F118" s="623"/>
      <c r="G118" s="941"/>
      <c r="H118" s="618"/>
      <c r="I118" s="618"/>
      <c r="J118" s="622"/>
    </row>
    <row r="119" spans="1:31" s="24" customFormat="1" ht="15" hidden="1" customHeight="1">
      <c r="A119" s="1445"/>
      <c r="B119" s="72"/>
      <c r="C119" s="77"/>
      <c r="D119" s="86"/>
      <c r="E119" s="599"/>
      <c r="F119" s="600" t="s">
        <v>1757</v>
      </c>
      <c r="G119" s="360"/>
      <c r="H119" s="361"/>
      <c r="I119" s="361"/>
      <c r="J119" s="211" t="s">
        <v>1758</v>
      </c>
      <c r="K119" s="333"/>
      <c r="L119" s="77"/>
      <c r="M119" s="77"/>
      <c r="N119" s="72"/>
      <c r="O119" s="72"/>
      <c r="P119" s="72"/>
      <c r="Q119" s="72"/>
      <c r="R119" s="77"/>
      <c r="S119" s="72"/>
      <c r="T119" s="72"/>
      <c r="U119" s="334"/>
      <c r="V119" s="72"/>
      <c r="W119" s="72"/>
      <c r="X119" s="72"/>
      <c r="Y119" s="72"/>
      <c r="Z119" s="72"/>
      <c r="AA119" s="54"/>
      <c r="AB119" s="54"/>
      <c r="AC119" s="54"/>
      <c r="AD119" s="54"/>
      <c r="AE119" s="54"/>
    </row>
    <row r="120" spans="1:31" ht="22.5" customHeight="1">
      <c r="A120" s="1445" t="s">
        <v>1759</v>
      </c>
      <c r="D120" s="214"/>
      <c r="E120" s="336" t="str">
        <f>FHD_NUM_P_78</f>
        <v>15</v>
      </c>
      <c r="F120" s="157"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422" t="s">
        <v>1729</v>
      </c>
      <c r="H120" s="365"/>
      <c r="I120" s="365"/>
      <c r="J120" s="76" t="str">
        <f>FHD_NOTE_P_78</f>
        <v/>
      </c>
      <c r="K120" s="333"/>
    </row>
    <row r="121" spans="1:31" s="77" customFormat="1" ht="0.75" customHeight="1">
      <c r="A121" s="1445"/>
      <c r="D121" s="338"/>
      <c r="E121" s="341" t="str">
        <f>E120&amp;".0"</f>
        <v>15.0</v>
      </c>
      <c r="F121" s="623"/>
      <c r="G121" s="941"/>
      <c r="H121" s="618"/>
      <c r="I121" s="618"/>
      <c r="J121" s="622"/>
    </row>
    <row r="122" spans="1:31" ht="15" customHeight="1">
      <c r="A122" s="1445"/>
      <c r="D122" s="86"/>
      <c r="E122" s="359"/>
      <c r="F122" s="116" t="s">
        <v>1557</v>
      </c>
      <c r="G122" s="360"/>
      <c r="H122" s="361"/>
      <c r="I122" s="361"/>
      <c r="J122" s="211" t="s">
        <v>1760</v>
      </c>
      <c r="K122" s="333"/>
    </row>
    <row r="123" spans="1:31" ht="22.5" customHeight="1">
      <c r="A123" s="1445"/>
      <c r="D123" s="214"/>
      <c r="E123" s="336" t="str">
        <f>FHD_NUM_P_79</f>
        <v>16</v>
      </c>
      <c r="F123" s="157"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50" t="s">
        <v>1731</v>
      </c>
      <c r="H123" s="365"/>
      <c r="I123" s="365"/>
      <c r="J123" s="76"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333"/>
    </row>
    <row r="124" spans="1:31" s="77" customFormat="1" ht="0.75" customHeight="1">
      <c r="A124" s="1445"/>
      <c r="D124" s="338"/>
      <c r="E124" s="341" t="str">
        <f>E123&amp;".0"</f>
        <v>16.0</v>
      </c>
      <c r="F124" s="624"/>
      <c r="G124" s="941"/>
      <c r="H124" s="618"/>
      <c r="I124" s="618"/>
      <c r="J124" s="622"/>
    </row>
    <row r="125" spans="1:31" ht="15" customHeight="1">
      <c r="A125" s="1445"/>
      <c r="D125" s="86"/>
      <c r="E125" s="359"/>
      <c r="F125" s="116" t="s">
        <v>1557</v>
      </c>
      <c r="G125" s="360"/>
      <c r="H125" s="361"/>
      <c r="I125" s="361"/>
      <c r="J125" s="211" t="s">
        <v>1761</v>
      </c>
      <c r="K125" s="333"/>
    </row>
    <row r="126" spans="1:31" ht="22.5" customHeight="1">
      <c r="A126" s="1445"/>
      <c r="D126" s="214"/>
      <c r="E126" s="336" t="str">
        <f>FHD_NUM_P_80</f>
        <v>17</v>
      </c>
      <c r="F126" s="157"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50" t="s">
        <v>1762</v>
      </c>
      <c r="H126" s="346"/>
      <c r="I126" s="346"/>
      <c r="J126" s="76" t="str">
        <f>FHD_NOTE_P_80</f>
        <v>Регулируемыми организациями указывается информация с по договорам, заключенным в рамках осуществления регулируемой деятельности.</v>
      </c>
      <c r="K126" s="333"/>
    </row>
    <row r="127" spans="1:31" ht="18.75" customHeight="1">
      <c r="A127" s="1445"/>
      <c r="D127" s="214"/>
      <c r="E127" s="336" t="str">
        <f>FHD_NUM_P_81</f>
        <v>18</v>
      </c>
      <c r="F127" s="157"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50" t="s">
        <v>1763</v>
      </c>
      <c r="H127" s="346"/>
      <c r="I127" s="346"/>
      <c r="J127" s="76" t="str">
        <f>FHD_NOTE_P_81</f>
        <v>Регулируемыми организациями указывается информация с по договорам, заключенным в рамках осуществления регулируемой деятельности.</v>
      </c>
      <c r="K127" s="333"/>
    </row>
    <row r="128" spans="1:31" ht="18.75" customHeight="1">
      <c r="A128" s="1445"/>
      <c r="C128" s="77" t="s">
        <v>1750</v>
      </c>
      <c r="D128" s="214"/>
      <c r="E128" s="336" t="str">
        <f>FHD_NUM_P_82</f>
        <v>19</v>
      </c>
      <c r="F128" s="157"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50" t="s">
        <v>298</v>
      </c>
      <c r="H128" s="250"/>
      <c r="I128" s="250"/>
      <c r="J128" s="76" t="str">
        <f>FHD_NOTE_P_82</f>
        <v>Указывается ссылка на документ, предварительно загруженный в хранилище файлов ФГИС ЕИАС.</v>
      </c>
      <c r="K128" s="333"/>
    </row>
    <row r="129" spans="1:31" ht="18.75" customHeight="1">
      <c r="A129" s="1445"/>
      <c r="C129" s="77" t="s">
        <v>1750</v>
      </c>
      <c r="D129" s="214"/>
      <c r="E129" s="336" t="str">
        <f>FHD_NUM_P_83</f>
        <v>19.1</v>
      </c>
      <c r="F129" s="348" t="str">
        <f>FHD_P_83</f>
        <v>Информация о показателях физического износа объектов теплоснабжения</v>
      </c>
      <c r="G129" s="50" t="s">
        <v>298</v>
      </c>
      <c r="H129" s="250"/>
      <c r="I129" s="250"/>
      <c r="J129" s="76" t="str">
        <f>FHD_NOTE_P_83</f>
        <v>Указывается ссылка на документ, предварительно загруженный в хранилище файлов ФГИС ЕИАС.</v>
      </c>
      <c r="K129" s="333"/>
    </row>
    <row r="130" spans="1:31" ht="18.75" customHeight="1">
      <c r="A130" s="1445"/>
      <c r="C130" s="77" t="s">
        <v>1750</v>
      </c>
      <c r="D130" s="214"/>
      <c r="E130" s="336" t="str">
        <f>FHD_NUM_P_84</f>
        <v>19.2</v>
      </c>
      <c r="F130" s="348" t="str">
        <f>FHD_P_84</f>
        <v>Информация о показателях энергетической эффективности объектов теплоснабжения</v>
      </c>
      <c r="G130" s="50" t="s">
        <v>298</v>
      </c>
      <c r="H130" s="250"/>
      <c r="I130" s="250"/>
      <c r="J130" s="76" t="str">
        <f>FHD_NOTE_P_84</f>
        <v>Указывается ссылка на документ, предварительно загруженный в хранилище файлов ФГИС ЕИАС.</v>
      </c>
      <c r="K130" s="333"/>
    </row>
    <row r="131" spans="1:31" ht="11.25" customHeight="1">
      <c r="D131" s="214"/>
    </row>
    <row r="132" spans="1:31" ht="12.75" customHeight="1">
      <c r="D132" s="214"/>
      <c r="E132" s="210"/>
      <c r="F132" s="7"/>
      <c r="G132" s="7"/>
      <c r="H132" s="7"/>
      <c r="I132" s="399"/>
      <c r="J132" s="368"/>
    </row>
    <row r="133" spans="1:31" s="216" customFormat="1" ht="11.25" customHeight="1">
      <c r="A133" s="613"/>
      <c r="B133" s="77"/>
      <c r="C133" s="77"/>
      <c r="F133" s="130"/>
      <c r="G133" s="24"/>
      <c r="H133" s="24"/>
      <c r="I133" s="24"/>
      <c r="K133" s="72"/>
      <c r="L133" s="77"/>
      <c r="M133" s="77"/>
      <c r="N133" s="72"/>
      <c r="O133" s="72"/>
      <c r="P133" s="72"/>
      <c r="Q133" s="72"/>
      <c r="R133" s="77"/>
      <c r="S133" s="72"/>
      <c r="T133" s="72"/>
      <c r="U133" s="334"/>
      <c r="V133" s="72"/>
      <c r="W133" s="72"/>
      <c r="X133" s="72"/>
      <c r="Y133" s="72"/>
      <c r="Z133" s="72"/>
      <c r="AA133" s="54"/>
      <c r="AB133" s="355"/>
      <c r="AC133" s="355"/>
      <c r="AD133" s="355"/>
      <c r="AE133" s="355"/>
    </row>
    <row r="134" spans="1:31" s="216" customFormat="1" ht="11.25" customHeight="1">
      <c r="A134" s="613"/>
      <c r="B134" s="77"/>
      <c r="C134" s="77"/>
      <c r="K134" s="72"/>
      <c r="L134" s="77"/>
      <c r="M134" s="77"/>
      <c r="N134" s="72"/>
      <c r="O134" s="72"/>
      <c r="P134" s="72"/>
      <c r="Q134" s="72"/>
      <c r="R134" s="77"/>
      <c r="S134" s="72"/>
      <c r="T134" s="72"/>
      <c r="U134" s="334"/>
      <c r="V134" s="72"/>
      <c r="W134" s="72"/>
      <c r="X134" s="72"/>
      <c r="Y134" s="72"/>
      <c r="Z134" s="72"/>
      <c r="AA134" s="54"/>
      <c r="AB134" s="355"/>
      <c r="AC134" s="355"/>
      <c r="AD134" s="355"/>
      <c r="AE134" s="355"/>
    </row>
    <row r="135" spans="1:31" s="216" customFormat="1" ht="11.25" customHeight="1">
      <c r="A135" s="613"/>
      <c r="B135" s="77"/>
      <c r="C135" s="77"/>
      <c r="K135" s="72"/>
      <c r="L135" s="77"/>
      <c r="M135" s="77"/>
      <c r="N135" s="72"/>
      <c r="O135" s="72"/>
      <c r="P135" s="72"/>
      <c r="Q135" s="72"/>
      <c r="R135" s="77"/>
      <c r="S135" s="72"/>
      <c r="T135" s="72"/>
      <c r="U135" s="334"/>
      <c r="V135" s="72"/>
      <c r="W135" s="72"/>
      <c r="X135" s="72"/>
      <c r="Y135" s="72"/>
      <c r="Z135" s="72"/>
      <c r="AA135" s="54"/>
      <c r="AB135" s="355"/>
      <c r="AC135" s="355"/>
      <c r="AD135" s="355"/>
      <c r="AE135" s="355"/>
    </row>
    <row r="136" spans="1:31" s="216" customFormat="1" ht="11.25" customHeight="1">
      <c r="A136" s="613"/>
      <c r="B136" s="77"/>
      <c r="C136" s="77"/>
      <c r="H136" s="355" t="str">
        <f>IF(H30-H31&lt;&gt;H72,"WARNING","")</f>
        <v/>
      </c>
      <c r="I136" s="355" t="str">
        <f>IF(I30-I31&lt;&gt;I72,"WARNING","")</f>
        <v/>
      </c>
      <c r="K136" s="72"/>
      <c r="L136" s="77"/>
      <c r="M136" s="77"/>
      <c r="N136" s="72"/>
      <c r="O136" s="72"/>
      <c r="P136" s="72"/>
      <c r="Q136" s="72"/>
      <c r="R136" s="77"/>
      <c r="S136" s="72"/>
      <c r="T136" s="72"/>
      <c r="U136" s="334"/>
      <c r="V136" s="72"/>
      <c r="W136" s="72"/>
      <c r="X136" s="72"/>
      <c r="Y136" s="72"/>
      <c r="Z136" s="72"/>
      <c r="AA136" s="54"/>
      <c r="AB136" s="355"/>
      <c r="AC136" s="355"/>
      <c r="AD136" s="355"/>
      <c r="AE136" s="355"/>
    </row>
    <row r="137" spans="1:31" s="216" customFormat="1" ht="11.25" customHeight="1">
      <c r="A137" s="613"/>
      <c r="B137" s="77"/>
      <c r="C137" s="77"/>
      <c r="K137" s="72"/>
      <c r="L137" s="77"/>
      <c r="M137" s="77"/>
      <c r="N137" s="72"/>
      <c r="O137" s="72"/>
      <c r="P137" s="72"/>
      <c r="Q137" s="72"/>
      <c r="R137" s="77"/>
      <c r="S137" s="72"/>
      <c r="T137" s="72"/>
      <c r="U137" s="334"/>
      <c r="V137" s="72"/>
      <c r="W137" s="72"/>
      <c r="X137" s="72"/>
      <c r="Y137" s="72"/>
      <c r="Z137" s="72"/>
      <c r="AA137" s="54"/>
      <c r="AB137" s="355"/>
      <c r="AC137" s="355"/>
      <c r="AD137" s="355"/>
      <c r="AE137" s="355"/>
    </row>
    <row r="138" spans="1:31" s="216" customFormat="1" ht="11.25" customHeight="1">
      <c r="A138" s="613"/>
      <c r="B138" s="77"/>
      <c r="C138" s="77"/>
      <c r="K138" s="72"/>
      <c r="L138" s="77"/>
      <c r="M138" s="77"/>
      <c r="N138" s="72"/>
      <c r="O138" s="72"/>
      <c r="P138" s="72"/>
      <c r="Q138" s="72"/>
      <c r="R138" s="77"/>
      <c r="S138" s="72"/>
      <c r="T138" s="72"/>
      <c r="U138" s="334"/>
      <c r="V138" s="72"/>
      <c r="W138" s="72"/>
      <c r="X138" s="72"/>
      <c r="Y138" s="72"/>
      <c r="Z138" s="72"/>
      <c r="AA138" s="54"/>
      <c r="AB138" s="355"/>
      <c r="AC138" s="355"/>
      <c r="AD138" s="355"/>
      <c r="AE138" s="355"/>
    </row>
    <row r="139" spans="1:31" s="216" customFormat="1" ht="11.25" customHeight="1">
      <c r="A139" s="613"/>
      <c r="B139" s="77"/>
      <c r="C139" s="77"/>
      <c r="K139" s="72"/>
      <c r="L139" s="77"/>
      <c r="M139" s="77"/>
      <c r="N139" s="72"/>
      <c r="O139" s="72"/>
      <c r="P139" s="72"/>
      <c r="Q139" s="72"/>
      <c r="R139" s="77"/>
      <c r="S139" s="72"/>
      <c r="T139" s="72"/>
      <c r="U139" s="334"/>
      <c r="V139" s="72"/>
      <c r="W139" s="72"/>
      <c r="X139" s="72"/>
      <c r="Y139" s="72"/>
      <c r="Z139" s="72"/>
      <c r="AA139" s="54"/>
      <c r="AB139" s="355"/>
      <c r="AC139" s="355"/>
      <c r="AD139" s="355"/>
      <c r="AE139" s="355"/>
    </row>
    <row r="140" spans="1:31" s="216" customFormat="1" ht="11.25" customHeight="1">
      <c r="A140" s="613"/>
      <c r="B140" s="77"/>
      <c r="C140" s="77"/>
      <c r="K140" s="72"/>
      <c r="L140" s="77"/>
      <c r="M140" s="77"/>
      <c r="N140" s="72"/>
      <c r="O140" s="72"/>
      <c r="P140" s="72"/>
      <c r="Q140" s="72"/>
      <c r="R140" s="77"/>
      <c r="S140" s="72"/>
      <c r="T140" s="72"/>
      <c r="U140" s="334"/>
      <c r="V140" s="72"/>
      <c r="W140" s="72"/>
      <c r="X140" s="72"/>
      <c r="Y140" s="72"/>
      <c r="Z140" s="72"/>
      <c r="AA140" s="54"/>
      <c r="AB140" s="355"/>
      <c r="AC140" s="355"/>
      <c r="AD140" s="355"/>
      <c r="AE140" s="355"/>
    </row>
    <row r="141" spans="1:31" s="216" customFormat="1" ht="11.25" customHeight="1">
      <c r="A141" s="613"/>
      <c r="B141" s="77"/>
      <c r="C141" s="77"/>
      <c r="K141" s="72"/>
      <c r="L141" s="77"/>
      <c r="M141" s="77"/>
      <c r="N141" s="72"/>
      <c r="O141" s="72"/>
      <c r="P141" s="72"/>
      <c r="Q141" s="72"/>
      <c r="R141" s="77"/>
      <c r="S141" s="72"/>
      <c r="T141" s="72"/>
      <c r="U141" s="334"/>
      <c r="V141" s="72"/>
      <c r="W141" s="72"/>
      <c r="X141" s="72"/>
      <c r="Y141" s="72"/>
      <c r="Z141" s="72"/>
      <c r="AA141" s="54"/>
      <c r="AB141" s="355"/>
      <c r="AC141" s="355"/>
      <c r="AD141" s="355"/>
      <c r="AE141" s="355"/>
    </row>
    <row r="142" spans="1:31" s="216" customFormat="1" ht="11.25" customHeight="1">
      <c r="A142" s="613"/>
      <c r="B142" s="77"/>
      <c r="C142" s="77"/>
      <c r="K142" s="72"/>
      <c r="L142" s="77"/>
      <c r="M142" s="77"/>
      <c r="N142" s="72"/>
      <c r="O142" s="72"/>
      <c r="P142" s="72"/>
      <c r="Q142" s="72"/>
      <c r="R142" s="77"/>
      <c r="S142" s="72"/>
      <c r="T142" s="72"/>
      <c r="U142" s="334"/>
      <c r="V142" s="72"/>
      <c r="W142" s="72"/>
      <c r="X142" s="72"/>
      <c r="Y142" s="72"/>
      <c r="Z142" s="72"/>
      <c r="AA142" s="54"/>
      <c r="AB142" s="355"/>
      <c r="AC142" s="355"/>
      <c r="AD142" s="355"/>
      <c r="AE142" s="355"/>
    </row>
    <row r="143" spans="1:31" s="216" customFormat="1" ht="11.25" customHeight="1">
      <c r="A143" s="613"/>
      <c r="B143" s="77"/>
      <c r="C143" s="77"/>
      <c r="K143" s="72"/>
      <c r="L143" s="77"/>
      <c r="M143" s="77"/>
      <c r="N143" s="72"/>
      <c r="O143" s="72"/>
      <c r="P143" s="72"/>
      <c r="Q143" s="72"/>
      <c r="R143" s="77"/>
      <c r="S143" s="72"/>
      <c r="T143" s="72"/>
      <c r="U143" s="334"/>
      <c r="V143" s="72"/>
      <c r="W143" s="72"/>
      <c r="X143" s="72"/>
      <c r="Y143" s="72"/>
      <c r="Z143" s="72"/>
      <c r="AA143" s="54"/>
      <c r="AB143" s="355"/>
      <c r="AC143" s="355"/>
      <c r="AD143" s="355"/>
      <c r="AE143" s="355"/>
    </row>
    <row r="144" spans="1:31" s="216" customFormat="1" ht="11.25" customHeight="1">
      <c r="A144" s="613"/>
      <c r="B144" s="77"/>
      <c r="C144" s="77"/>
      <c r="K144" s="72"/>
      <c r="L144" s="77"/>
      <c r="M144" s="77"/>
      <c r="N144" s="72"/>
      <c r="O144" s="72"/>
      <c r="P144" s="72"/>
      <c r="Q144" s="72"/>
      <c r="R144" s="77"/>
      <c r="S144" s="72"/>
      <c r="T144" s="72"/>
      <c r="U144" s="334"/>
      <c r="V144" s="72"/>
      <c r="W144" s="72"/>
      <c r="X144" s="72"/>
      <c r="Y144" s="72"/>
      <c r="Z144" s="72"/>
      <c r="AA144" s="54"/>
      <c r="AB144" s="355"/>
      <c r="AC144" s="355"/>
      <c r="AD144" s="355"/>
      <c r="AE144" s="355"/>
    </row>
    <row r="145" spans="1:31" s="216" customFormat="1" ht="11.25" customHeight="1">
      <c r="A145" s="613"/>
      <c r="B145" s="77"/>
      <c r="C145" s="77"/>
      <c r="K145" s="72"/>
      <c r="L145" s="77"/>
      <c r="M145" s="77"/>
      <c r="N145" s="72"/>
      <c r="O145" s="72"/>
      <c r="P145" s="72"/>
      <c r="Q145" s="72"/>
      <c r="R145" s="77"/>
      <c r="S145" s="72"/>
      <c r="T145" s="72"/>
      <c r="U145" s="334"/>
      <c r="V145" s="72"/>
      <c r="W145" s="72"/>
      <c r="X145" s="72"/>
      <c r="Y145" s="72"/>
      <c r="Z145" s="72"/>
      <c r="AA145" s="54"/>
      <c r="AB145" s="355"/>
      <c r="AC145" s="355"/>
      <c r="AD145" s="355"/>
      <c r="AE145" s="355"/>
    </row>
    <row r="146" spans="1:31" s="216" customFormat="1" ht="11.25" customHeight="1">
      <c r="A146" s="613"/>
      <c r="B146" s="77"/>
      <c r="C146" s="77"/>
      <c r="K146" s="72"/>
      <c r="L146" s="77"/>
      <c r="M146" s="77"/>
      <c r="N146" s="72"/>
      <c r="O146" s="72"/>
      <c r="P146" s="72"/>
      <c r="Q146" s="72"/>
      <c r="R146" s="77"/>
      <c r="S146" s="72"/>
      <c r="T146" s="72"/>
      <c r="U146" s="334"/>
      <c r="V146" s="72"/>
      <c r="W146" s="72"/>
      <c r="X146" s="72"/>
      <c r="Y146" s="72"/>
      <c r="Z146" s="72"/>
      <c r="AA146" s="54"/>
      <c r="AB146" s="355"/>
      <c r="AC146" s="355"/>
      <c r="AD146" s="355"/>
      <c r="AE146" s="355"/>
    </row>
    <row r="147" spans="1:31" s="216" customFormat="1" ht="11.25" customHeight="1">
      <c r="A147" s="613"/>
      <c r="B147" s="77"/>
      <c r="C147" s="77"/>
      <c r="K147" s="72"/>
      <c r="L147" s="77"/>
      <c r="M147" s="77"/>
      <c r="N147" s="72"/>
      <c r="O147" s="72"/>
      <c r="P147" s="72"/>
      <c r="Q147" s="72"/>
      <c r="R147" s="77"/>
      <c r="S147" s="72"/>
      <c r="T147" s="72"/>
      <c r="U147" s="334"/>
      <c r="V147" s="72"/>
      <c r="W147" s="72"/>
      <c r="X147" s="72"/>
      <c r="Y147" s="72"/>
      <c r="Z147" s="72"/>
      <c r="AA147" s="54"/>
      <c r="AB147" s="355"/>
      <c r="AC147" s="355"/>
      <c r="AD147" s="355"/>
      <c r="AE147" s="355"/>
    </row>
    <row r="148" spans="1:31" s="216" customFormat="1" ht="11.25" customHeight="1">
      <c r="A148" s="613"/>
      <c r="B148" s="77"/>
      <c r="C148" s="77"/>
      <c r="K148" s="72"/>
      <c r="L148" s="77"/>
      <c r="M148" s="77"/>
      <c r="N148" s="72"/>
      <c r="O148" s="72"/>
      <c r="P148" s="72"/>
      <c r="Q148" s="72"/>
      <c r="R148" s="77"/>
      <c r="S148" s="72"/>
      <c r="T148" s="72"/>
      <c r="U148" s="334"/>
      <c r="V148" s="72"/>
      <c r="W148" s="72"/>
      <c r="X148" s="72"/>
      <c r="Y148" s="72"/>
      <c r="Z148" s="72"/>
      <c r="AA148" s="54"/>
      <c r="AB148" s="355"/>
      <c r="AC148" s="355"/>
      <c r="AD148" s="355"/>
      <c r="AE148" s="355"/>
    </row>
    <row r="149" spans="1:31" s="216" customFormat="1" ht="11.25" customHeight="1">
      <c r="A149" s="613"/>
      <c r="B149" s="77"/>
      <c r="C149" s="77"/>
      <c r="K149" s="72"/>
      <c r="L149" s="77"/>
      <c r="M149" s="77"/>
      <c r="N149" s="72"/>
      <c r="O149" s="72"/>
      <c r="P149" s="72"/>
      <c r="Q149" s="72"/>
      <c r="R149" s="77"/>
      <c r="S149" s="72"/>
      <c r="T149" s="72"/>
      <c r="U149" s="334"/>
      <c r="V149" s="72"/>
      <c r="W149" s="72"/>
      <c r="X149" s="72"/>
      <c r="Y149" s="72"/>
      <c r="Z149" s="72"/>
      <c r="AA149" s="54"/>
      <c r="AB149" s="355"/>
      <c r="AC149" s="355"/>
      <c r="AD149" s="355"/>
      <c r="AE149" s="355"/>
    </row>
    <row r="150" spans="1:31" s="216" customFormat="1" ht="11.25" customHeight="1">
      <c r="A150" s="613"/>
      <c r="B150" s="77"/>
      <c r="C150" s="77"/>
      <c r="K150" s="72"/>
      <c r="L150" s="77"/>
      <c r="M150" s="77"/>
      <c r="N150" s="72"/>
      <c r="O150" s="72"/>
      <c r="P150" s="72"/>
      <c r="Q150" s="72"/>
      <c r="R150" s="77"/>
      <c r="S150" s="72"/>
      <c r="T150" s="72"/>
      <c r="U150" s="334"/>
      <c r="V150" s="72"/>
      <c r="W150" s="72"/>
      <c r="X150" s="72"/>
      <c r="Y150" s="72"/>
      <c r="Z150" s="72"/>
      <c r="AA150" s="54"/>
      <c r="AB150" s="355"/>
      <c r="AC150" s="355"/>
      <c r="AD150" s="355"/>
      <c r="AE150" s="355"/>
    </row>
    <row r="151" spans="1:31" s="216" customFormat="1" ht="11.25" customHeight="1">
      <c r="A151" s="613"/>
      <c r="B151" s="77"/>
      <c r="C151" s="77"/>
      <c r="K151" s="72"/>
      <c r="L151" s="77"/>
      <c r="M151" s="77"/>
      <c r="N151" s="72"/>
      <c r="O151" s="72"/>
      <c r="P151" s="72"/>
      <c r="Q151" s="72"/>
      <c r="R151" s="77"/>
      <c r="S151" s="72"/>
      <c r="T151" s="72"/>
      <c r="U151" s="334"/>
      <c r="V151" s="72"/>
      <c r="W151" s="72"/>
      <c r="X151" s="72"/>
      <c r="Y151" s="72"/>
      <c r="Z151" s="72"/>
      <c r="AA151" s="54"/>
      <c r="AB151" s="355"/>
      <c r="AC151" s="355"/>
      <c r="AD151" s="355"/>
      <c r="AE151" s="355"/>
    </row>
    <row r="152" spans="1:31" s="216" customFormat="1" ht="11.25" customHeight="1">
      <c r="A152" s="613"/>
      <c r="B152" s="77"/>
      <c r="C152" s="77"/>
      <c r="K152" s="72"/>
      <c r="L152" s="77"/>
      <c r="M152" s="77"/>
      <c r="N152" s="72"/>
      <c r="O152" s="72"/>
      <c r="P152" s="72"/>
      <c r="Q152" s="72"/>
      <c r="R152" s="77"/>
      <c r="S152" s="72"/>
      <c r="T152" s="72"/>
      <c r="U152" s="334"/>
      <c r="V152" s="72"/>
      <c r="W152" s="72"/>
      <c r="X152" s="72"/>
      <c r="Y152" s="72"/>
      <c r="Z152" s="72"/>
      <c r="AA152" s="54"/>
      <c r="AB152" s="355"/>
      <c r="AC152" s="355"/>
      <c r="AD152" s="355"/>
      <c r="AE152" s="355"/>
    </row>
    <row r="153" spans="1:31" s="216" customFormat="1" ht="11.25" customHeight="1">
      <c r="A153" s="613"/>
      <c r="B153" s="77"/>
      <c r="C153" s="77"/>
      <c r="K153" s="72"/>
      <c r="L153" s="77"/>
      <c r="M153" s="77"/>
      <c r="N153" s="72"/>
      <c r="O153" s="72"/>
      <c r="P153" s="72"/>
      <c r="Q153" s="72"/>
      <c r="R153" s="77"/>
      <c r="S153" s="72"/>
      <c r="T153" s="72"/>
      <c r="U153" s="334"/>
      <c r="V153" s="72"/>
      <c r="W153" s="72"/>
      <c r="X153" s="72"/>
      <c r="Y153" s="72"/>
      <c r="Z153" s="72"/>
      <c r="AA153" s="54"/>
      <c r="AB153" s="355"/>
      <c r="AC153" s="355"/>
      <c r="AD153" s="355"/>
      <c r="AE153" s="355"/>
    </row>
    <row r="154" spans="1:31" s="216" customFormat="1" ht="11.25" customHeight="1">
      <c r="A154" s="613"/>
      <c r="B154" s="77"/>
      <c r="C154" s="77"/>
      <c r="K154" s="72"/>
      <c r="L154" s="77"/>
      <c r="M154" s="77"/>
      <c r="N154" s="72"/>
      <c r="O154" s="72"/>
      <c r="P154" s="72"/>
      <c r="Q154" s="72"/>
      <c r="R154" s="77"/>
      <c r="S154" s="72"/>
      <c r="T154" s="72"/>
      <c r="U154" s="334"/>
      <c r="V154" s="72"/>
      <c r="W154" s="72"/>
      <c r="X154" s="72"/>
      <c r="Y154" s="72"/>
      <c r="Z154" s="72"/>
      <c r="AA154" s="54"/>
      <c r="AB154" s="355"/>
      <c r="AC154" s="355"/>
      <c r="AD154" s="355"/>
      <c r="AE154" s="355"/>
    </row>
    <row r="155" spans="1:31" s="216" customFormat="1" ht="11.25" customHeight="1">
      <c r="A155" s="613"/>
      <c r="B155" s="77"/>
      <c r="C155" s="77"/>
      <c r="K155" s="72"/>
      <c r="L155" s="77"/>
      <c r="M155" s="77"/>
      <c r="N155" s="72"/>
      <c r="O155" s="72"/>
      <c r="P155" s="72"/>
      <c r="Q155" s="72"/>
      <c r="R155" s="77"/>
      <c r="S155" s="72"/>
      <c r="T155" s="72"/>
      <c r="U155" s="334"/>
      <c r="V155" s="72"/>
      <c r="W155" s="72"/>
      <c r="X155" s="72"/>
      <c r="Y155" s="72"/>
      <c r="Z155" s="72"/>
      <c r="AA155" s="54"/>
      <c r="AB155" s="355"/>
      <c r="AC155" s="355"/>
      <c r="AD155" s="355"/>
      <c r="AE155" s="355"/>
    </row>
    <row r="156" spans="1:31" s="216" customFormat="1" ht="11.25" customHeight="1">
      <c r="A156" s="613"/>
      <c r="B156" s="77"/>
      <c r="C156" s="77"/>
      <c r="K156" s="72"/>
      <c r="L156" s="77"/>
      <c r="M156" s="77"/>
      <c r="N156" s="72"/>
      <c r="O156" s="72"/>
      <c r="P156" s="72"/>
      <c r="Q156" s="72"/>
      <c r="R156" s="77"/>
      <c r="S156" s="72"/>
      <c r="T156" s="72"/>
      <c r="U156" s="334"/>
      <c r="V156" s="72"/>
      <c r="W156" s="72"/>
      <c r="X156" s="72"/>
      <c r="Y156" s="72"/>
      <c r="Z156" s="72"/>
      <c r="AA156" s="54"/>
      <c r="AB156" s="355"/>
      <c r="AC156" s="355"/>
      <c r="AD156" s="355"/>
      <c r="AE156" s="355"/>
    </row>
    <row r="157" spans="1:31" s="216" customFormat="1" ht="11.25" customHeight="1">
      <c r="A157" s="613"/>
      <c r="B157" s="77"/>
      <c r="C157" s="77"/>
      <c r="K157" s="72"/>
      <c r="L157" s="77"/>
      <c r="M157" s="77"/>
      <c r="N157" s="72"/>
      <c r="O157" s="72"/>
      <c r="P157" s="72"/>
      <c r="Q157" s="72"/>
      <c r="R157" s="77"/>
      <c r="S157" s="72"/>
      <c r="T157" s="72"/>
      <c r="U157" s="334"/>
      <c r="V157" s="72"/>
      <c r="W157" s="72"/>
      <c r="X157" s="72"/>
      <c r="Y157" s="72"/>
      <c r="Z157" s="72"/>
      <c r="AA157" s="54"/>
      <c r="AB157" s="355"/>
      <c r="AC157" s="355"/>
      <c r="AD157" s="355"/>
      <c r="AE157" s="355"/>
    </row>
    <row r="158" spans="1:31" s="216" customFormat="1" ht="11.25" customHeight="1">
      <c r="A158" s="613"/>
      <c r="B158" s="77"/>
      <c r="C158" s="77"/>
      <c r="K158" s="72"/>
      <c r="L158" s="77"/>
      <c r="M158" s="77"/>
      <c r="N158" s="72"/>
      <c r="O158" s="72"/>
      <c r="P158" s="72"/>
      <c r="Q158" s="72"/>
      <c r="R158" s="77"/>
      <c r="S158" s="72"/>
      <c r="T158" s="72"/>
      <c r="U158" s="334"/>
      <c r="V158" s="72"/>
      <c r="W158" s="72"/>
      <c r="X158" s="72"/>
      <c r="Y158" s="72"/>
      <c r="Z158" s="72"/>
      <c r="AA158" s="54"/>
      <c r="AB158" s="355"/>
      <c r="AC158" s="355"/>
      <c r="AD158" s="355"/>
      <c r="AE158" s="355"/>
    </row>
    <row r="159" spans="1:31" s="216" customFormat="1" ht="11.25" customHeight="1">
      <c r="A159" s="613"/>
      <c r="B159" s="77"/>
      <c r="C159" s="77"/>
      <c r="K159" s="72"/>
      <c r="L159" s="77"/>
      <c r="M159" s="77"/>
      <c r="N159" s="72"/>
      <c r="O159" s="72"/>
      <c r="P159" s="72"/>
      <c r="Q159" s="72"/>
      <c r="R159" s="77"/>
      <c r="S159" s="72"/>
      <c r="T159" s="72"/>
      <c r="U159" s="334"/>
      <c r="V159" s="72"/>
      <c r="W159" s="72"/>
      <c r="X159" s="72"/>
      <c r="Y159" s="72"/>
      <c r="Z159" s="72"/>
      <c r="AA159" s="54"/>
      <c r="AB159" s="355"/>
      <c r="AC159" s="355"/>
      <c r="AD159" s="355"/>
      <c r="AE159" s="355"/>
    </row>
    <row r="160" spans="1:31" s="216" customFormat="1" ht="11.25" customHeight="1">
      <c r="A160" s="613"/>
      <c r="B160" s="77"/>
      <c r="C160" s="77"/>
      <c r="K160" s="72"/>
      <c r="L160" s="77"/>
      <c r="M160" s="77"/>
      <c r="N160" s="72"/>
      <c r="O160" s="72"/>
      <c r="P160" s="72"/>
      <c r="Q160" s="72"/>
      <c r="R160" s="77"/>
      <c r="S160" s="72"/>
      <c r="T160" s="72"/>
      <c r="U160" s="334"/>
      <c r="V160" s="72"/>
      <c r="W160" s="72"/>
      <c r="X160" s="72"/>
      <c r="Y160" s="72"/>
      <c r="Z160" s="72"/>
      <c r="AA160" s="54"/>
      <c r="AB160" s="355"/>
      <c r="AC160" s="355"/>
      <c r="AD160" s="355"/>
      <c r="AE160" s="355"/>
    </row>
    <row r="161" spans="1:31" s="216" customFormat="1" ht="11.25" customHeight="1">
      <c r="A161" s="613"/>
      <c r="B161" s="77"/>
      <c r="C161" s="77"/>
      <c r="K161" s="72"/>
      <c r="L161" s="77"/>
      <c r="M161" s="77"/>
      <c r="N161" s="72"/>
      <c r="O161" s="72"/>
      <c r="P161" s="72"/>
      <c r="Q161" s="72"/>
      <c r="R161" s="77"/>
      <c r="S161" s="72"/>
      <c r="T161" s="72"/>
      <c r="U161" s="334"/>
      <c r="V161" s="72"/>
      <c r="W161" s="72"/>
      <c r="X161" s="72"/>
      <c r="Y161" s="72"/>
      <c r="Z161" s="72"/>
      <c r="AA161" s="54"/>
      <c r="AB161" s="355"/>
      <c r="AC161" s="355"/>
      <c r="AD161" s="355"/>
      <c r="AE161" s="355"/>
    </row>
    <row r="162" spans="1:31" s="216" customFormat="1" ht="11.25" customHeight="1">
      <c r="A162" s="613"/>
      <c r="B162" s="77"/>
      <c r="C162" s="77"/>
      <c r="K162" s="72"/>
      <c r="L162" s="77"/>
      <c r="M162" s="77"/>
      <c r="N162" s="72"/>
      <c r="O162" s="72"/>
      <c r="P162" s="72"/>
      <c r="Q162" s="72"/>
      <c r="R162" s="77"/>
      <c r="S162" s="72"/>
      <c r="T162" s="72"/>
      <c r="U162" s="334"/>
      <c r="V162" s="72"/>
      <c r="W162" s="72"/>
      <c r="X162" s="72"/>
      <c r="Y162" s="72"/>
      <c r="Z162" s="72"/>
      <c r="AA162" s="54"/>
      <c r="AB162" s="355"/>
      <c r="AC162" s="355"/>
      <c r="AD162" s="355"/>
      <c r="AE162" s="355"/>
    </row>
    <row r="163" spans="1:31" s="216" customFormat="1" ht="11.25" customHeight="1">
      <c r="A163" s="613"/>
      <c r="B163" s="77"/>
      <c r="C163" s="77"/>
      <c r="K163" s="72"/>
      <c r="L163" s="77"/>
      <c r="M163" s="77"/>
      <c r="N163" s="72"/>
      <c r="O163" s="72"/>
      <c r="P163" s="72"/>
      <c r="Q163" s="72"/>
      <c r="R163" s="77"/>
      <c r="S163" s="72"/>
      <c r="T163" s="72"/>
      <c r="U163" s="334"/>
      <c r="V163" s="72"/>
      <c r="W163" s="72"/>
      <c r="X163" s="72"/>
      <c r="Y163" s="72"/>
      <c r="Z163" s="72"/>
      <c r="AA163" s="54"/>
      <c r="AB163" s="355"/>
      <c r="AC163" s="355"/>
      <c r="AD163" s="355"/>
      <c r="AE163" s="355"/>
    </row>
    <row r="164" spans="1:31" s="216" customFormat="1" ht="11.25" customHeight="1">
      <c r="A164" s="613"/>
      <c r="B164" s="77"/>
      <c r="C164" s="77"/>
      <c r="K164" s="72"/>
      <c r="L164" s="77"/>
      <c r="M164" s="77"/>
      <c r="N164" s="72"/>
      <c r="O164" s="72"/>
      <c r="P164" s="72"/>
      <c r="Q164" s="72"/>
      <c r="R164" s="77"/>
      <c r="S164" s="72"/>
      <c r="T164" s="72"/>
      <c r="U164" s="334"/>
      <c r="V164" s="72"/>
      <c r="W164" s="72"/>
      <c r="X164" s="72"/>
      <c r="Y164" s="72"/>
      <c r="Z164" s="72"/>
      <c r="AA164" s="54"/>
      <c r="AB164" s="355"/>
      <c r="AC164" s="355"/>
      <c r="AD164" s="355"/>
      <c r="AE164" s="355"/>
    </row>
    <row r="165" spans="1:31" s="216" customFormat="1" ht="11.25" customHeight="1">
      <c r="A165" s="613"/>
      <c r="B165" s="77"/>
      <c r="C165" s="77"/>
      <c r="K165" s="72"/>
      <c r="L165" s="77"/>
      <c r="M165" s="77"/>
      <c r="N165" s="72"/>
      <c r="O165" s="72"/>
      <c r="P165" s="72"/>
      <c r="Q165" s="72"/>
      <c r="R165" s="77"/>
      <c r="S165" s="72"/>
      <c r="T165" s="72"/>
      <c r="U165" s="334"/>
      <c r="V165" s="72"/>
      <c r="W165" s="72"/>
      <c r="X165" s="72"/>
      <c r="Y165" s="72"/>
      <c r="Z165" s="72"/>
      <c r="AA165" s="54"/>
      <c r="AB165" s="355"/>
      <c r="AC165" s="355"/>
      <c r="AD165" s="355"/>
      <c r="AE165" s="355"/>
    </row>
    <row r="166" spans="1:31" s="216" customFormat="1" ht="11.25" customHeight="1">
      <c r="A166" s="613"/>
      <c r="B166" s="77"/>
      <c r="C166" s="77"/>
      <c r="K166" s="72"/>
      <c r="L166" s="77"/>
      <c r="M166" s="77"/>
      <c r="N166" s="72"/>
      <c r="O166" s="72"/>
      <c r="P166" s="72"/>
      <c r="Q166" s="72"/>
      <c r="R166" s="77"/>
      <c r="S166" s="72"/>
      <c r="T166" s="72"/>
      <c r="U166" s="334"/>
      <c r="V166" s="72"/>
      <c r="W166" s="72"/>
      <c r="X166" s="72"/>
      <c r="Y166" s="72"/>
      <c r="Z166" s="72"/>
      <c r="AA166" s="54"/>
      <c r="AB166" s="355"/>
      <c r="AC166" s="355"/>
      <c r="AD166" s="355"/>
      <c r="AE166" s="355"/>
    </row>
    <row r="167" spans="1:31" s="216" customFormat="1" ht="11.25" customHeight="1">
      <c r="A167" s="613"/>
      <c r="B167" s="77"/>
      <c r="C167" s="77"/>
      <c r="K167" s="72"/>
      <c r="L167" s="77"/>
      <c r="M167" s="77"/>
      <c r="N167" s="72"/>
      <c r="O167" s="72"/>
      <c r="P167" s="72"/>
      <c r="Q167" s="72"/>
      <c r="R167" s="77"/>
      <c r="S167" s="72"/>
      <c r="T167" s="72"/>
      <c r="U167" s="334"/>
      <c r="V167" s="72"/>
      <c r="W167" s="72"/>
      <c r="X167" s="72"/>
      <c r="Y167" s="72"/>
      <c r="Z167" s="72"/>
      <c r="AA167" s="54"/>
      <c r="AB167" s="355"/>
      <c r="AC167" s="355"/>
      <c r="AD167" s="355"/>
      <c r="AE167" s="355"/>
    </row>
    <row r="168" spans="1:31" s="216" customFormat="1" ht="11.25" customHeight="1">
      <c r="A168" s="613"/>
      <c r="B168" s="77"/>
      <c r="C168" s="77"/>
      <c r="K168" s="72"/>
      <c r="L168" s="77"/>
      <c r="M168" s="77"/>
      <c r="N168" s="72"/>
      <c r="O168" s="72"/>
      <c r="P168" s="72"/>
      <c r="Q168" s="72"/>
      <c r="R168" s="77"/>
      <c r="S168" s="72"/>
      <c r="T168" s="72"/>
      <c r="U168" s="334"/>
      <c r="V168" s="72"/>
      <c r="W168" s="72"/>
      <c r="X168" s="72"/>
      <c r="Y168" s="72"/>
      <c r="Z168" s="72"/>
      <c r="AA168" s="54"/>
      <c r="AB168" s="355"/>
      <c r="AC168" s="355"/>
      <c r="AD168" s="355"/>
      <c r="AE168" s="355"/>
    </row>
    <row r="169" spans="1:31" s="216" customFormat="1" ht="11.25" customHeight="1">
      <c r="A169" s="613"/>
      <c r="B169" s="77"/>
      <c r="C169" s="77"/>
      <c r="K169" s="72"/>
      <c r="L169" s="77"/>
      <c r="M169" s="77"/>
      <c r="N169" s="72"/>
      <c r="O169" s="72"/>
      <c r="P169" s="72"/>
      <c r="Q169" s="72"/>
      <c r="R169" s="77"/>
      <c r="S169" s="72"/>
      <c r="T169" s="72"/>
      <c r="U169" s="334"/>
      <c r="V169" s="72"/>
      <c r="W169" s="72"/>
      <c r="X169" s="72"/>
      <c r="Y169" s="72"/>
      <c r="Z169" s="72"/>
      <c r="AA169" s="54"/>
      <c r="AB169" s="355"/>
      <c r="AC169" s="355"/>
      <c r="AD169" s="355"/>
      <c r="AE169" s="355"/>
    </row>
    <row r="170" spans="1:31" s="216" customFormat="1" ht="11.25" customHeight="1">
      <c r="A170" s="613"/>
      <c r="B170" s="77"/>
      <c r="C170" s="77"/>
      <c r="K170" s="72"/>
      <c r="L170" s="77"/>
      <c r="M170" s="77"/>
      <c r="N170" s="72"/>
      <c r="O170" s="72"/>
      <c r="P170" s="72"/>
      <c r="Q170" s="72"/>
      <c r="R170" s="77"/>
      <c r="S170" s="72"/>
      <c r="T170" s="72"/>
      <c r="U170" s="334"/>
      <c r="V170" s="72"/>
      <c r="W170" s="72"/>
      <c r="X170" s="72"/>
      <c r="Y170" s="72"/>
      <c r="Z170" s="72"/>
      <c r="AA170" s="54"/>
      <c r="AB170" s="355"/>
      <c r="AC170" s="355"/>
      <c r="AD170" s="355"/>
      <c r="AE170" s="355"/>
    </row>
    <row r="171" spans="1:31" s="216" customFormat="1" ht="11.25" customHeight="1">
      <c r="A171" s="613"/>
      <c r="B171" s="77"/>
      <c r="C171" s="77"/>
      <c r="K171" s="72"/>
      <c r="L171" s="77"/>
      <c r="M171" s="77"/>
      <c r="N171" s="72"/>
      <c r="O171" s="72"/>
      <c r="P171" s="72"/>
      <c r="Q171" s="72"/>
      <c r="R171" s="77"/>
      <c r="S171" s="72"/>
      <c r="T171" s="72"/>
      <c r="U171" s="334"/>
      <c r="V171" s="72"/>
      <c r="W171" s="72"/>
      <c r="X171" s="72"/>
      <c r="Y171" s="72"/>
      <c r="Z171" s="72"/>
      <c r="AA171" s="54"/>
      <c r="AB171" s="355"/>
      <c r="AC171" s="355"/>
      <c r="AD171" s="355"/>
      <c r="AE171" s="355"/>
    </row>
    <row r="172" spans="1:31" s="216" customFormat="1" ht="11.25" customHeight="1">
      <c r="A172" s="613"/>
      <c r="B172" s="77"/>
      <c r="C172" s="77"/>
      <c r="K172" s="72"/>
      <c r="L172" s="77"/>
      <c r="M172" s="77"/>
      <c r="N172" s="72"/>
      <c r="O172" s="72"/>
      <c r="P172" s="72"/>
      <c r="Q172" s="72"/>
      <c r="R172" s="77"/>
      <c r="S172" s="72"/>
      <c r="T172" s="72"/>
      <c r="U172" s="334"/>
      <c r="V172" s="72"/>
      <c r="W172" s="72"/>
      <c r="X172" s="72"/>
      <c r="Y172" s="72"/>
      <c r="Z172" s="72"/>
      <c r="AA172" s="54"/>
      <c r="AB172" s="355"/>
      <c r="AC172" s="355"/>
      <c r="AD172" s="355"/>
      <c r="AE172" s="355"/>
    </row>
    <row r="173" spans="1:31" s="216" customFormat="1" ht="11.25" customHeight="1">
      <c r="A173" s="613"/>
      <c r="B173" s="77"/>
      <c r="C173" s="77"/>
      <c r="K173" s="72"/>
      <c r="L173" s="77"/>
      <c r="M173" s="77"/>
      <c r="N173" s="72"/>
      <c r="O173" s="72"/>
      <c r="P173" s="72"/>
      <c r="Q173" s="72"/>
      <c r="R173" s="77"/>
      <c r="S173" s="72"/>
      <c r="T173" s="72"/>
      <c r="U173" s="334"/>
      <c r="V173" s="72"/>
      <c r="W173" s="72"/>
      <c r="X173" s="72"/>
      <c r="Y173" s="72"/>
      <c r="Z173" s="72"/>
      <c r="AA173" s="54"/>
      <c r="AB173" s="355"/>
      <c r="AC173" s="355"/>
      <c r="AD173" s="355"/>
      <c r="AE173" s="355"/>
    </row>
    <row r="174" spans="1:31" s="216" customFormat="1" ht="11.25" customHeight="1">
      <c r="A174" s="613"/>
      <c r="B174" s="77"/>
      <c r="C174" s="77"/>
      <c r="K174" s="72"/>
      <c r="L174" s="77"/>
      <c r="M174" s="77"/>
      <c r="N174" s="72"/>
      <c r="O174" s="72"/>
      <c r="P174" s="72"/>
      <c r="Q174" s="72"/>
      <c r="R174" s="77"/>
      <c r="S174" s="72"/>
      <c r="T174" s="72"/>
      <c r="U174" s="334"/>
      <c r="V174" s="72"/>
      <c r="W174" s="72"/>
      <c r="X174" s="72"/>
      <c r="Y174" s="72"/>
      <c r="Z174" s="72"/>
      <c r="AA174" s="54"/>
      <c r="AB174" s="355"/>
      <c r="AC174" s="355"/>
      <c r="AD174" s="355"/>
      <c r="AE174" s="355"/>
    </row>
    <row r="175" spans="1:31" s="216" customFormat="1" ht="11.25" customHeight="1">
      <c r="A175" s="613"/>
      <c r="B175" s="77"/>
      <c r="C175" s="77"/>
      <c r="K175" s="72"/>
      <c r="L175" s="77"/>
      <c r="M175" s="77"/>
      <c r="N175" s="72"/>
      <c r="O175" s="72"/>
      <c r="P175" s="72"/>
      <c r="Q175" s="72"/>
      <c r="R175" s="77"/>
      <c r="S175" s="72"/>
      <c r="T175" s="72"/>
      <c r="U175" s="334"/>
      <c r="V175" s="72"/>
      <c r="W175" s="72"/>
      <c r="X175" s="72"/>
      <c r="Y175" s="72"/>
      <c r="Z175" s="72"/>
      <c r="AA175" s="54"/>
      <c r="AB175" s="355"/>
      <c r="AC175" s="355"/>
      <c r="AD175" s="355"/>
      <c r="AE175" s="355"/>
    </row>
    <row r="176" spans="1:31" s="216" customFormat="1" ht="11.25" customHeight="1">
      <c r="A176" s="613"/>
      <c r="B176" s="77"/>
      <c r="C176" s="77"/>
      <c r="K176" s="72"/>
      <c r="L176" s="77"/>
      <c r="M176" s="77"/>
      <c r="N176" s="72"/>
      <c r="O176" s="72"/>
      <c r="P176" s="72"/>
      <c r="Q176" s="72"/>
      <c r="R176" s="77"/>
      <c r="S176" s="72"/>
      <c r="T176" s="72"/>
      <c r="U176" s="334"/>
      <c r="V176" s="72"/>
      <c r="W176" s="72"/>
      <c r="X176" s="72"/>
      <c r="Y176" s="72"/>
      <c r="Z176" s="72"/>
      <c r="AA176" s="54"/>
      <c r="AB176" s="355"/>
      <c r="AC176" s="355"/>
      <c r="AD176" s="355"/>
      <c r="AE176" s="355"/>
    </row>
    <row r="177" spans="1:31" s="216" customFormat="1" ht="11.25" customHeight="1">
      <c r="A177" s="613"/>
      <c r="B177" s="77"/>
      <c r="C177" s="77"/>
      <c r="K177" s="72"/>
      <c r="L177" s="77"/>
      <c r="M177" s="77"/>
      <c r="N177" s="72"/>
      <c r="O177" s="72"/>
      <c r="P177" s="72"/>
      <c r="Q177" s="72"/>
      <c r="R177" s="77"/>
      <c r="S177" s="72"/>
      <c r="T177" s="72"/>
      <c r="U177" s="334"/>
      <c r="V177" s="72"/>
      <c r="W177" s="72"/>
      <c r="X177" s="72"/>
      <c r="Y177" s="72"/>
      <c r="Z177" s="72"/>
      <c r="AA177" s="54"/>
      <c r="AB177" s="355"/>
      <c r="AC177" s="355"/>
      <c r="AD177" s="355"/>
      <c r="AE177" s="355"/>
    </row>
    <row r="178" spans="1:31" s="216" customFormat="1" ht="11.25" customHeight="1">
      <c r="A178" s="613"/>
      <c r="B178" s="77"/>
      <c r="C178" s="77"/>
      <c r="K178" s="72"/>
      <c r="L178" s="77"/>
      <c r="M178" s="77"/>
      <c r="N178" s="72"/>
      <c r="O178" s="72"/>
      <c r="P178" s="72"/>
      <c r="Q178" s="72"/>
      <c r="R178" s="77"/>
      <c r="S178" s="72"/>
      <c r="T178" s="72"/>
      <c r="U178" s="334"/>
      <c r="V178" s="72"/>
      <c r="W178" s="72"/>
      <c r="X178" s="72"/>
      <c r="Y178" s="72"/>
      <c r="Z178" s="72"/>
      <c r="AA178" s="54"/>
      <c r="AB178" s="355"/>
      <c r="AC178" s="355"/>
      <c r="AD178" s="355"/>
      <c r="AE178" s="355"/>
    </row>
    <row r="179" spans="1:31" s="216" customFormat="1" ht="11.25" customHeight="1">
      <c r="A179" s="613"/>
      <c r="B179" s="77"/>
      <c r="C179" s="77"/>
      <c r="K179" s="72"/>
      <c r="L179" s="77"/>
      <c r="M179" s="77"/>
      <c r="N179" s="72"/>
      <c r="O179" s="72"/>
      <c r="P179" s="72"/>
      <c r="Q179" s="72"/>
      <c r="R179" s="77"/>
      <c r="S179" s="72"/>
      <c r="T179" s="72"/>
      <c r="U179" s="334"/>
      <c r="V179" s="72"/>
      <c r="W179" s="72"/>
      <c r="X179" s="72"/>
      <c r="Y179" s="72"/>
      <c r="Z179" s="72"/>
      <c r="AA179" s="54"/>
      <c r="AB179" s="355"/>
      <c r="AC179" s="355"/>
      <c r="AD179" s="355"/>
      <c r="AE179" s="355"/>
    </row>
    <row r="180" spans="1:31" s="216" customFormat="1" ht="11.25" customHeight="1">
      <c r="A180" s="613"/>
      <c r="B180" s="77"/>
      <c r="C180" s="77"/>
      <c r="K180" s="72"/>
      <c r="L180" s="77"/>
      <c r="M180" s="77"/>
      <c r="N180" s="72"/>
      <c r="O180" s="72"/>
      <c r="P180" s="72"/>
      <c r="Q180" s="72"/>
      <c r="R180" s="77"/>
      <c r="S180" s="72"/>
      <c r="T180" s="72"/>
      <c r="U180" s="334"/>
      <c r="V180" s="72"/>
      <c r="W180" s="72"/>
      <c r="X180" s="72"/>
      <c r="Y180" s="72"/>
      <c r="Z180" s="72"/>
      <c r="AA180" s="54"/>
      <c r="AB180" s="355"/>
      <c r="AC180" s="355"/>
      <c r="AD180" s="355"/>
      <c r="AE180" s="355"/>
    </row>
    <row r="181" spans="1:31" s="216" customFormat="1" ht="11.25" customHeight="1">
      <c r="A181" s="613"/>
      <c r="B181" s="77"/>
      <c r="C181" s="77"/>
      <c r="K181" s="72"/>
      <c r="L181" s="77"/>
      <c r="M181" s="77"/>
      <c r="N181" s="72"/>
      <c r="O181" s="72"/>
      <c r="P181" s="72"/>
      <c r="Q181" s="72"/>
      <c r="R181" s="77"/>
      <c r="S181" s="72"/>
      <c r="T181" s="72"/>
      <c r="U181" s="334"/>
      <c r="V181" s="72"/>
      <c r="W181" s="72"/>
      <c r="X181" s="72"/>
      <c r="Y181" s="72"/>
      <c r="Z181" s="72"/>
      <c r="AA181" s="54"/>
      <c r="AB181" s="355"/>
      <c r="AC181" s="355"/>
      <c r="AD181" s="355"/>
      <c r="AE181" s="355"/>
    </row>
    <row r="182" spans="1:31" s="216" customFormat="1" ht="11.25" customHeight="1">
      <c r="A182" s="613"/>
      <c r="B182" s="77"/>
      <c r="C182" s="77"/>
      <c r="K182" s="72"/>
      <c r="L182" s="77"/>
      <c r="M182" s="77"/>
      <c r="N182" s="72"/>
      <c r="O182" s="72"/>
      <c r="P182" s="72"/>
      <c r="Q182" s="72"/>
      <c r="R182" s="77"/>
      <c r="S182" s="72"/>
      <c r="T182" s="72"/>
      <c r="U182" s="334"/>
      <c r="V182" s="72"/>
      <c r="W182" s="72"/>
      <c r="X182" s="72"/>
      <c r="Y182" s="72"/>
      <c r="Z182" s="72"/>
      <c r="AA182" s="54"/>
      <c r="AB182" s="355"/>
      <c r="AC182" s="355"/>
      <c r="AD182" s="355"/>
      <c r="AE182" s="355"/>
    </row>
    <row r="183" spans="1:31" s="216" customFormat="1" ht="11.25" customHeight="1">
      <c r="A183" s="613"/>
      <c r="B183" s="77"/>
      <c r="C183" s="77"/>
      <c r="K183" s="72"/>
      <c r="L183" s="77"/>
      <c r="M183" s="77"/>
      <c r="N183" s="72"/>
      <c r="O183" s="72"/>
      <c r="P183" s="72"/>
      <c r="Q183" s="72"/>
      <c r="R183" s="77"/>
      <c r="S183" s="72"/>
      <c r="T183" s="72"/>
      <c r="U183" s="334"/>
      <c r="V183" s="72"/>
      <c r="W183" s="72"/>
      <c r="X183" s="72"/>
      <c r="Y183" s="72"/>
      <c r="Z183" s="72"/>
      <c r="AA183" s="54"/>
      <c r="AB183" s="355"/>
      <c r="AC183" s="355"/>
      <c r="AD183" s="355"/>
      <c r="AE183" s="355"/>
    </row>
    <row r="184" spans="1:31" s="216" customFormat="1" ht="11.25" customHeight="1">
      <c r="A184" s="613"/>
      <c r="B184" s="77"/>
      <c r="C184" s="77"/>
      <c r="K184" s="72"/>
      <c r="L184" s="77"/>
      <c r="M184" s="77"/>
      <c r="N184" s="72"/>
      <c r="O184" s="72"/>
      <c r="P184" s="72"/>
      <c r="Q184" s="72"/>
      <c r="R184" s="77"/>
      <c r="S184" s="72"/>
      <c r="T184" s="72"/>
      <c r="U184" s="334"/>
      <c r="V184" s="72"/>
      <c r="W184" s="72"/>
      <c r="X184" s="72"/>
      <c r="Y184" s="72"/>
      <c r="Z184" s="72"/>
      <c r="AA184" s="54"/>
      <c r="AB184" s="355"/>
      <c r="AC184" s="355"/>
      <c r="AD184" s="355"/>
      <c r="AE184" s="355"/>
    </row>
    <row r="185" spans="1:31" s="216" customFormat="1" ht="11.25" customHeight="1">
      <c r="A185" s="613"/>
      <c r="B185" s="77"/>
      <c r="C185" s="77"/>
      <c r="K185" s="72"/>
      <c r="L185" s="77"/>
      <c r="M185" s="77"/>
      <c r="N185" s="72"/>
      <c r="O185" s="72"/>
      <c r="P185" s="72"/>
      <c r="Q185" s="72"/>
      <c r="R185" s="77"/>
      <c r="S185" s="72"/>
      <c r="T185" s="72"/>
      <c r="U185" s="334"/>
      <c r="V185" s="72"/>
      <c r="W185" s="72"/>
      <c r="X185" s="72"/>
      <c r="Y185" s="72"/>
      <c r="Z185" s="72"/>
      <c r="AA185" s="54"/>
      <c r="AB185" s="355"/>
      <c r="AC185" s="355"/>
      <c r="AD185" s="355"/>
      <c r="AE185" s="355"/>
    </row>
    <row r="186" spans="1:31" s="216" customFormat="1" ht="11.25" customHeight="1">
      <c r="A186" s="613"/>
      <c r="B186" s="77"/>
      <c r="C186" s="77"/>
      <c r="K186" s="72"/>
      <c r="L186" s="77"/>
      <c r="M186" s="77"/>
      <c r="N186" s="72"/>
      <c r="O186" s="72"/>
      <c r="P186" s="72"/>
      <c r="Q186" s="72"/>
      <c r="R186" s="77"/>
      <c r="S186" s="72"/>
      <c r="T186" s="72"/>
      <c r="U186" s="334"/>
      <c r="V186" s="72"/>
      <c r="W186" s="72"/>
      <c r="X186" s="72"/>
      <c r="Y186" s="72"/>
      <c r="Z186" s="72"/>
      <c r="AA186" s="54"/>
      <c r="AB186" s="355"/>
      <c r="AC186" s="355"/>
      <c r="AD186" s="355"/>
      <c r="AE186" s="355"/>
    </row>
    <row r="187" spans="1:31" s="216" customFormat="1" ht="11.25" customHeight="1">
      <c r="A187" s="613"/>
      <c r="B187" s="77"/>
      <c r="C187" s="77"/>
      <c r="K187" s="72"/>
      <c r="L187" s="77"/>
      <c r="M187" s="77"/>
      <c r="N187" s="72"/>
      <c r="O187" s="72"/>
      <c r="P187" s="72"/>
      <c r="Q187" s="72"/>
      <c r="R187" s="77"/>
      <c r="S187" s="72"/>
      <c r="T187" s="72"/>
      <c r="U187" s="334"/>
      <c r="V187" s="72"/>
      <c r="W187" s="72"/>
      <c r="X187" s="72"/>
      <c r="Y187" s="72"/>
      <c r="Z187" s="72"/>
      <c r="AA187" s="54"/>
      <c r="AB187" s="355"/>
      <c r="AC187" s="355"/>
      <c r="AD187" s="355"/>
      <c r="AE187" s="355"/>
    </row>
    <row r="188" spans="1:31" s="216" customFormat="1" ht="11.25" customHeight="1">
      <c r="A188" s="613"/>
      <c r="B188" s="77"/>
      <c r="C188" s="77"/>
      <c r="K188" s="72"/>
      <c r="L188" s="77"/>
      <c r="M188" s="77"/>
      <c r="N188" s="72"/>
      <c r="O188" s="72"/>
      <c r="P188" s="72"/>
      <c r="Q188" s="72"/>
      <c r="R188" s="77"/>
      <c r="S188" s="72"/>
      <c r="T188" s="72"/>
      <c r="U188" s="334"/>
      <c r="V188" s="72"/>
      <c r="W188" s="72"/>
      <c r="X188" s="72"/>
      <c r="Y188" s="72"/>
      <c r="Z188" s="72"/>
      <c r="AA188" s="54"/>
      <c r="AB188" s="355"/>
      <c r="AC188" s="355"/>
      <c r="AD188" s="355"/>
      <c r="AE188" s="355"/>
    </row>
    <row r="189" spans="1:31" s="216" customFormat="1" ht="11.25" customHeight="1">
      <c r="A189" s="613"/>
      <c r="B189" s="77"/>
      <c r="C189" s="77"/>
      <c r="K189" s="72"/>
      <c r="L189" s="77"/>
      <c r="M189" s="77"/>
      <c r="N189" s="72"/>
      <c r="O189" s="72"/>
      <c r="P189" s="72"/>
      <c r="Q189" s="72"/>
      <c r="R189" s="77"/>
      <c r="S189" s="72"/>
      <c r="T189" s="72"/>
      <c r="U189" s="334"/>
      <c r="V189" s="72"/>
      <c r="W189" s="72"/>
      <c r="X189" s="72"/>
      <c r="Y189" s="72"/>
      <c r="Z189" s="72"/>
      <c r="AA189" s="54"/>
      <c r="AB189" s="355"/>
      <c r="AC189" s="355"/>
      <c r="AD189" s="355"/>
      <c r="AE189" s="355"/>
    </row>
    <row r="190" spans="1:31" s="216" customFormat="1" ht="11.25" customHeight="1">
      <c r="A190" s="613"/>
      <c r="B190" s="77"/>
      <c r="C190" s="77"/>
      <c r="K190" s="72"/>
      <c r="L190" s="77"/>
      <c r="M190" s="77"/>
      <c r="N190" s="72"/>
      <c r="O190" s="72"/>
      <c r="P190" s="72"/>
      <c r="Q190" s="72"/>
      <c r="R190" s="77"/>
      <c r="S190" s="72"/>
      <c r="T190" s="72"/>
      <c r="U190" s="334"/>
      <c r="V190" s="72"/>
      <c r="W190" s="72"/>
      <c r="X190" s="72"/>
      <c r="Y190" s="72"/>
      <c r="Z190" s="72"/>
      <c r="AA190" s="54"/>
      <c r="AB190" s="355"/>
      <c r="AC190" s="355"/>
      <c r="AD190" s="355"/>
      <c r="AE190" s="355"/>
    </row>
    <row r="191" spans="1:31" s="216" customFormat="1" ht="11.25" customHeight="1">
      <c r="A191" s="613"/>
      <c r="B191" s="77"/>
      <c r="C191" s="77"/>
      <c r="K191" s="72"/>
      <c r="L191" s="77"/>
      <c r="M191" s="77"/>
      <c r="N191" s="72"/>
      <c r="O191" s="72"/>
      <c r="P191" s="72"/>
      <c r="Q191" s="72"/>
      <c r="R191" s="77"/>
      <c r="S191" s="72"/>
      <c r="T191" s="72"/>
      <c r="U191" s="334"/>
      <c r="V191" s="72"/>
      <c r="W191" s="72"/>
      <c r="X191" s="72"/>
      <c r="Y191" s="72"/>
      <c r="Z191" s="72"/>
      <c r="AA191" s="54"/>
      <c r="AB191" s="355"/>
      <c r="AC191" s="355"/>
      <c r="AD191" s="355"/>
      <c r="AE191" s="355"/>
    </row>
    <row r="192" spans="1:31" s="216" customFormat="1" ht="11.25" customHeight="1">
      <c r="A192" s="613"/>
      <c r="B192" s="77"/>
      <c r="C192" s="77"/>
      <c r="K192" s="72"/>
      <c r="L192" s="77"/>
      <c r="M192" s="77"/>
      <c r="N192" s="72"/>
      <c r="O192" s="72"/>
      <c r="P192" s="72"/>
      <c r="Q192" s="72"/>
      <c r="R192" s="77"/>
      <c r="S192" s="72"/>
      <c r="T192" s="72"/>
      <c r="U192" s="334"/>
      <c r="V192" s="72"/>
      <c r="W192" s="72"/>
      <c r="X192" s="72"/>
      <c r="Y192" s="72"/>
      <c r="Z192" s="72"/>
      <c r="AA192" s="54"/>
      <c r="AB192" s="355"/>
      <c r="AC192" s="355"/>
      <c r="AD192" s="355"/>
      <c r="AE192" s="355"/>
    </row>
    <row r="193" spans="1:31" s="216" customFormat="1" ht="11.25" customHeight="1">
      <c r="A193" s="613"/>
      <c r="B193" s="77"/>
      <c r="C193" s="77"/>
      <c r="K193" s="72"/>
      <c r="L193" s="77"/>
      <c r="M193" s="77"/>
      <c r="N193" s="72"/>
      <c r="O193" s="72"/>
      <c r="P193" s="72"/>
      <c r="Q193" s="72"/>
      <c r="R193" s="77"/>
      <c r="S193" s="72"/>
      <c r="T193" s="72"/>
      <c r="U193" s="334"/>
      <c r="V193" s="72"/>
      <c r="W193" s="72"/>
      <c r="X193" s="72"/>
      <c r="Y193" s="72"/>
      <c r="Z193" s="72"/>
      <c r="AA193" s="54"/>
      <c r="AB193" s="355"/>
      <c r="AC193" s="355"/>
      <c r="AD193" s="355"/>
      <c r="AE193" s="355"/>
    </row>
    <row r="194" spans="1:31" s="216" customFormat="1" ht="11.25" customHeight="1">
      <c r="A194" s="613"/>
      <c r="B194" s="77"/>
      <c r="C194" s="77"/>
      <c r="K194" s="72"/>
      <c r="L194" s="77"/>
      <c r="M194" s="77"/>
      <c r="N194" s="72"/>
      <c r="O194" s="72"/>
      <c r="P194" s="72"/>
      <c r="Q194" s="72"/>
      <c r="R194" s="77"/>
      <c r="S194" s="72"/>
      <c r="T194" s="72"/>
      <c r="U194" s="334"/>
      <c r="V194" s="72"/>
      <c r="W194" s="72"/>
      <c r="X194" s="72"/>
      <c r="Y194" s="72"/>
      <c r="Z194" s="72"/>
      <c r="AA194" s="54"/>
      <c r="AB194" s="355"/>
      <c r="AC194" s="355"/>
      <c r="AD194" s="355"/>
      <c r="AE194" s="355"/>
    </row>
    <row r="195" spans="1:31" s="216" customFormat="1" ht="11.25" customHeight="1">
      <c r="A195" s="613"/>
      <c r="B195" s="77"/>
      <c r="C195" s="77"/>
      <c r="K195" s="72"/>
      <c r="L195" s="77"/>
      <c r="M195" s="77"/>
      <c r="N195" s="72"/>
      <c r="O195" s="72"/>
      <c r="P195" s="72"/>
      <c r="Q195" s="72"/>
      <c r="R195" s="77"/>
      <c r="S195" s="72"/>
      <c r="T195" s="72"/>
      <c r="U195" s="334"/>
      <c r="V195" s="72"/>
      <c r="W195" s="72"/>
      <c r="X195" s="72"/>
      <c r="Y195" s="72"/>
      <c r="Z195" s="72"/>
      <c r="AA195" s="54"/>
      <c r="AB195" s="355"/>
      <c r="AC195" s="355"/>
      <c r="AD195" s="355"/>
      <c r="AE195" s="355"/>
    </row>
    <row r="196" spans="1:31" s="216" customFormat="1" ht="11.25" customHeight="1">
      <c r="A196" s="613"/>
      <c r="B196" s="77"/>
      <c r="C196" s="77"/>
      <c r="K196" s="72"/>
      <c r="L196" s="77"/>
      <c r="M196" s="77"/>
      <c r="N196" s="72"/>
      <c r="O196" s="72"/>
      <c r="P196" s="72"/>
      <c r="Q196" s="72"/>
      <c r="R196" s="77"/>
      <c r="S196" s="72"/>
      <c r="T196" s="72"/>
      <c r="U196" s="334"/>
      <c r="V196" s="72"/>
      <c r="W196" s="72"/>
      <c r="X196" s="72"/>
      <c r="Y196" s="72"/>
      <c r="Z196" s="72"/>
      <c r="AA196" s="54"/>
      <c r="AB196" s="355"/>
      <c r="AC196" s="355"/>
      <c r="AD196" s="355"/>
      <c r="AE196" s="355"/>
    </row>
    <row r="197" spans="1:31" s="216" customFormat="1" ht="11.25" customHeight="1">
      <c r="A197" s="613"/>
      <c r="B197" s="77"/>
      <c r="C197" s="77"/>
      <c r="K197" s="72"/>
      <c r="L197" s="77"/>
      <c r="M197" s="77"/>
      <c r="N197" s="72"/>
      <c r="O197" s="72"/>
      <c r="P197" s="72"/>
      <c r="Q197" s="72"/>
      <c r="R197" s="77"/>
      <c r="S197" s="72"/>
      <c r="T197" s="72"/>
      <c r="U197" s="334"/>
      <c r="V197" s="72"/>
      <c r="W197" s="72"/>
      <c r="X197" s="72"/>
      <c r="Y197" s="72"/>
      <c r="Z197" s="72"/>
      <c r="AA197" s="54"/>
      <c r="AB197" s="355"/>
      <c r="AC197" s="355"/>
      <c r="AD197" s="355"/>
      <c r="AE197" s="355"/>
    </row>
    <row r="198" spans="1:31" s="216" customFormat="1" ht="11.25" customHeight="1">
      <c r="A198" s="613"/>
      <c r="B198" s="77"/>
      <c r="C198" s="77"/>
      <c r="K198" s="72"/>
      <c r="L198" s="77"/>
      <c r="M198" s="77"/>
      <c r="N198" s="72"/>
      <c r="O198" s="72"/>
      <c r="P198" s="72"/>
      <c r="Q198" s="72"/>
      <c r="R198" s="77"/>
      <c r="S198" s="72"/>
      <c r="T198" s="72"/>
      <c r="U198" s="334"/>
      <c r="V198" s="72"/>
      <c r="W198" s="72"/>
      <c r="X198" s="72"/>
      <c r="Y198" s="72"/>
      <c r="Z198" s="72"/>
      <c r="AA198" s="54"/>
      <c r="AB198" s="355"/>
      <c r="AC198" s="355"/>
      <c r="AD198" s="355"/>
      <c r="AE198" s="355"/>
    </row>
    <row r="199" spans="1:31" s="216" customFormat="1" ht="11.25" customHeight="1">
      <c r="A199" s="613"/>
      <c r="B199" s="77"/>
      <c r="C199" s="77"/>
      <c r="K199" s="72"/>
      <c r="L199" s="77"/>
      <c r="M199" s="77"/>
      <c r="N199" s="72"/>
      <c r="O199" s="72"/>
      <c r="P199" s="72"/>
      <c r="Q199" s="72"/>
      <c r="R199" s="77"/>
      <c r="S199" s="72"/>
      <c r="T199" s="72"/>
      <c r="U199" s="334"/>
      <c r="V199" s="72"/>
      <c r="W199" s="72"/>
      <c r="X199" s="72"/>
      <c r="Y199" s="72"/>
      <c r="Z199" s="72"/>
      <c r="AA199" s="54"/>
      <c r="AB199" s="355"/>
      <c r="AC199" s="355"/>
      <c r="AD199" s="355"/>
      <c r="AE199" s="355"/>
    </row>
    <row r="200" spans="1:31" s="216" customFormat="1" ht="11.25" customHeight="1">
      <c r="A200" s="613"/>
      <c r="B200" s="77"/>
      <c r="C200" s="77"/>
      <c r="K200" s="72"/>
      <c r="L200" s="77"/>
      <c r="M200" s="77"/>
      <c r="N200" s="72"/>
      <c r="O200" s="72"/>
      <c r="P200" s="72"/>
      <c r="Q200" s="72"/>
      <c r="R200" s="77"/>
      <c r="S200" s="72"/>
      <c r="T200" s="72"/>
      <c r="U200" s="334"/>
      <c r="V200" s="72"/>
      <c r="W200" s="72"/>
      <c r="X200" s="72"/>
      <c r="Y200" s="72"/>
      <c r="Z200" s="72"/>
      <c r="AA200" s="54"/>
      <c r="AB200" s="355"/>
      <c r="AC200" s="355"/>
      <c r="AD200" s="355"/>
      <c r="AE200" s="355"/>
    </row>
    <row r="201" spans="1:31" s="216" customFormat="1" ht="11.25" customHeight="1">
      <c r="A201" s="613"/>
      <c r="B201" s="77"/>
      <c r="C201" s="77"/>
      <c r="K201" s="72"/>
      <c r="L201" s="77"/>
      <c r="M201" s="77"/>
      <c r="N201" s="72"/>
      <c r="O201" s="72"/>
      <c r="P201" s="72"/>
      <c r="Q201" s="72"/>
      <c r="R201" s="77"/>
      <c r="S201" s="72"/>
      <c r="T201" s="72"/>
      <c r="U201" s="334"/>
      <c r="V201" s="72"/>
      <c r="W201" s="72"/>
      <c r="X201" s="72"/>
      <c r="Y201" s="72"/>
      <c r="Z201" s="72"/>
      <c r="AA201" s="54"/>
      <c r="AB201" s="355"/>
      <c r="AC201" s="355"/>
      <c r="AD201" s="355"/>
      <c r="AE201" s="355"/>
    </row>
    <row r="202" spans="1:31" s="216" customFormat="1" ht="11.25" customHeight="1">
      <c r="A202" s="613"/>
      <c r="B202" s="77"/>
      <c r="C202" s="77"/>
      <c r="K202" s="72"/>
      <c r="L202" s="77"/>
      <c r="M202" s="77"/>
      <c r="N202" s="72"/>
      <c r="O202" s="72"/>
      <c r="P202" s="72"/>
      <c r="Q202" s="72"/>
      <c r="R202" s="77"/>
      <c r="S202" s="72"/>
      <c r="T202" s="72"/>
      <c r="U202" s="334"/>
      <c r="V202" s="72"/>
      <c r="W202" s="72"/>
      <c r="X202" s="72"/>
      <c r="Y202" s="72"/>
      <c r="Z202" s="72"/>
      <c r="AA202" s="54"/>
      <c r="AB202" s="355"/>
      <c r="AC202" s="355"/>
      <c r="AD202" s="355"/>
      <c r="AE202" s="355"/>
    </row>
    <row r="203" spans="1:31" s="216" customFormat="1" ht="11.25" customHeight="1">
      <c r="A203" s="613"/>
      <c r="B203" s="77"/>
      <c r="C203" s="77"/>
      <c r="K203" s="72"/>
      <c r="L203" s="77"/>
      <c r="M203" s="77"/>
      <c r="N203" s="72"/>
      <c r="O203" s="72"/>
      <c r="P203" s="72"/>
      <c r="Q203" s="72"/>
      <c r="R203" s="77"/>
      <c r="S203" s="72"/>
      <c r="T203" s="72"/>
      <c r="U203" s="334"/>
      <c r="V203" s="72"/>
      <c r="W203" s="72"/>
      <c r="X203" s="72"/>
      <c r="Y203" s="72"/>
      <c r="Z203" s="72"/>
      <c r="AA203" s="54"/>
      <c r="AB203" s="355"/>
      <c r="AC203" s="355"/>
      <c r="AD203" s="355"/>
      <c r="AE203" s="355"/>
    </row>
    <row r="204" spans="1:31" s="216" customFormat="1" ht="11.25" customHeight="1">
      <c r="A204" s="613"/>
      <c r="B204" s="77"/>
      <c r="C204" s="77"/>
      <c r="K204" s="72"/>
      <c r="L204" s="77"/>
      <c r="M204" s="77"/>
      <c r="N204" s="72"/>
      <c r="O204" s="72"/>
      <c r="P204" s="72"/>
      <c r="Q204" s="72"/>
      <c r="R204" s="77"/>
      <c r="S204" s="72"/>
      <c r="T204" s="72"/>
      <c r="U204" s="334"/>
      <c r="V204" s="72"/>
      <c r="W204" s="72"/>
      <c r="X204" s="72"/>
      <c r="Y204" s="72"/>
      <c r="Z204" s="72"/>
      <c r="AA204" s="54"/>
      <c r="AB204" s="355"/>
      <c r="AC204" s="355"/>
      <c r="AD204" s="355"/>
      <c r="AE204" s="355"/>
    </row>
    <row r="205" spans="1:31" s="216" customFormat="1" ht="11.25" customHeight="1">
      <c r="A205" s="613"/>
      <c r="B205" s="77"/>
      <c r="C205" s="77"/>
      <c r="K205" s="72"/>
      <c r="L205" s="77"/>
      <c r="M205" s="77"/>
      <c r="N205" s="72"/>
      <c r="O205" s="72"/>
      <c r="P205" s="72"/>
      <c r="Q205" s="72"/>
      <c r="R205" s="77"/>
      <c r="S205" s="72"/>
      <c r="T205" s="72"/>
      <c r="U205" s="334"/>
      <c r="V205" s="72"/>
      <c r="W205" s="72"/>
      <c r="X205" s="72"/>
      <c r="Y205" s="72"/>
      <c r="Z205" s="72"/>
      <c r="AA205" s="54"/>
      <c r="AB205" s="355"/>
      <c r="AC205" s="355"/>
      <c r="AD205" s="355"/>
      <c r="AE205" s="355"/>
    </row>
    <row r="206" spans="1:31" s="216" customFormat="1" ht="11.25" customHeight="1">
      <c r="A206" s="613"/>
      <c r="B206" s="77"/>
      <c r="C206" s="77"/>
      <c r="K206" s="72"/>
      <c r="L206" s="77"/>
      <c r="M206" s="77"/>
      <c r="N206" s="72"/>
      <c r="O206" s="72"/>
      <c r="P206" s="72"/>
      <c r="Q206" s="72"/>
      <c r="R206" s="77"/>
      <c r="S206" s="72"/>
      <c r="T206" s="72"/>
      <c r="U206" s="334"/>
      <c r="V206" s="72"/>
      <c r="W206" s="72"/>
      <c r="X206" s="72"/>
      <c r="Y206" s="72"/>
      <c r="Z206" s="72"/>
      <c r="AA206" s="54"/>
      <c r="AB206" s="355"/>
      <c r="AC206" s="355"/>
      <c r="AD206" s="355"/>
      <c r="AE206" s="355"/>
    </row>
    <row r="207" spans="1:31" s="216" customFormat="1" ht="11.25" customHeight="1">
      <c r="A207" s="613"/>
      <c r="B207" s="77"/>
      <c r="C207" s="77"/>
      <c r="K207" s="72"/>
      <c r="L207" s="77"/>
      <c r="M207" s="77"/>
      <c r="N207" s="72"/>
      <c r="O207" s="72"/>
      <c r="P207" s="72"/>
      <c r="Q207" s="72"/>
      <c r="R207" s="77"/>
      <c r="S207" s="72"/>
      <c r="T207" s="72"/>
      <c r="U207" s="334"/>
      <c r="V207" s="72"/>
      <c r="W207" s="72"/>
      <c r="X207" s="72"/>
      <c r="Y207" s="72"/>
      <c r="Z207" s="72"/>
      <c r="AA207" s="54"/>
      <c r="AB207" s="355"/>
      <c r="AC207" s="355"/>
      <c r="AD207" s="355"/>
      <c r="AE207" s="355"/>
    </row>
    <row r="208" spans="1:31" s="216" customFormat="1" ht="11.25" customHeight="1">
      <c r="A208" s="613"/>
      <c r="B208" s="77"/>
      <c r="C208" s="77"/>
      <c r="K208" s="72"/>
      <c r="L208" s="77"/>
      <c r="M208" s="77"/>
      <c r="N208" s="72"/>
      <c r="O208" s="72"/>
      <c r="P208" s="72"/>
      <c r="Q208" s="72"/>
      <c r="R208" s="77"/>
      <c r="S208" s="72"/>
      <c r="T208" s="72"/>
      <c r="U208" s="334"/>
      <c r="V208" s="72"/>
      <c r="W208" s="72"/>
      <c r="X208" s="72"/>
      <c r="Y208" s="72"/>
      <c r="Z208" s="72"/>
      <c r="AA208" s="54"/>
      <c r="AB208" s="355"/>
      <c r="AC208" s="355"/>
      <c r="AD208" s="355"/>
      <c r="AE208" s="355"/>
    </row>
    <row r="209" spans="1:31" s="216" customFormat="1" ht="11.25" customHeight="1">
      <c r="A209" s="613"/>
      <c r="B209" s="77"/>
      <c r="C209" s="77"/>
      <c r="K209" s="72"/>
      <c r="L209" s="77"/>
      <c r="M209" s="77"/>
      <c r="N209" s="72"/>
      <c r="O209" s="72"/>
      <c r="P209" s="72"/>
      <c r="Q209" s="72"/>
      <c r="R209" s="77"/>
      <c r="S209" s="72"/>
      <c r="T209" s="72"/>
      <c r="U209" s="334"/>
      <c r="V209" s="72"/>
      <c r="W209" s="72"/>
      <c r="X209" s="72"/>
      <c r="Y209" s="72"/>
      <c r="Z209" s="72"/>
      <c r="AA209" s="54"/>
      <c r="AB209" s="355"/>
      <c r="AC209" s="355"/>
      <c r="AD209" s="355"/>
      <c r="AE209" s="355"/>
    </row>
    <row r="210" spans="1:31" s="216" customFormat="1" ht="11.25" customHeight="1">
      <c r="A210" s="613"/>
      <c r="B210" s="77"/>
      <c r="C210" s="77"/>
      <c r="K210" s="72"/>
      <c r="L210" s="77"/>
      <c r="M210" s="77"/>
      <c r="N210" s="72"/>
      <c r="O210" s="72"/>
      <c r="P210" s="72"/>
      <c r="Q210" s="72"/>
      <c r="R210" s="77"/>
      <c r="S210" s="72"/>
      <c r="T210" s="72"/>
      <c r="U210" s="334"/>
      <c r="V210" s="72"/>
      <c r="W210" s="72"/>
      <c r="X210" s="72"/>
      <c r="Y210" s="72"/>
      <c r="Z210" s="72"/>
      <c r="AA210" s="54"/>
      <c r="AB210" s="355"/>
      <c r="AC210" s="355"/>
      <c r="AD210" s="355"/>
      <c r="AE210" s="355"/>
    </row>
    <row r="211" spans="1:31" s="216" customFormat="1" ht="11.25" customHeight="1">
      <c r="A211" s="613"/>
      <c r="B211" s="77"/>
      <c r="C211" s="77"/>
      <c r="K211" s="72"/>
      <c r="L211" s="77"/>
      <c r="M211" s="77"/>
      <c r="N211" s="72"/>
      <c r="O211" s="72"/>
      <c r="P211" s="72"/>
      <c r="Q211" s="72"/>
      <c r="R211" s="77"/>
      <c r="S211" s="72"/>
      <c r="T211" s="72"/>
      <c r="U211" s="334"/>
      <c r="V211" s="72"/>
      <c r="W211" s="72"/>
      <c r="X211" s="72"/>
      <c r="Y211" s="72"/>
      <c r="Z211" s="72"/>
      <c r="AA211" s="54"/>
      <c r="AB211" s="355"/>
      <c r="AC211" s="355"/>
      <c r="AD211" s="355"/>
      <c r="AE211" s="355"/>
    </row>
    <row r="212" spans="1:31" s="216" customFormat="1" ht="11.25" customHeight="1">
      <c r="A212" s="613"/>
      <c r="B212" s="77"/>
      <c r="C212" s="77"/>
      <c r="K212" s="72"/>
      <c r="L212" s="77"/>
      <c r="M212" s="77"/>
      <c r="N212" s="72"/>
      <c r="O212" s="72"/>
      <c r="P212" s="72"/>
      <c r="Q212" s="72"/>
      <c r="R212" s="77"/>
      <c r="S212" s="72"/>
      <c r="T212" s="72"/>
      <c r="U212" s="334"/>
      <c r="V212" s="72"/>
      <c r="W212" s="72"/>
      <c r="X212" s="72"/>
      <c r="Y212" s="72"/>
      <c r="Z212" s="72"/>
      <c r="AA212" s="54"/>
      <c r="AB212" s="355"/>
      <c r="AC212" s="355"/>
      <c r="AD212" s="355"/>
      <c r="AE212" s="355"/>
    </row>
    <row r="213" spans="1:31" s="216" customFormat="1" ht="11.25" customHeight="1">
      <c r="A213" s="613"/>
      <c r="B213" s="77"/>
      <c r="C213" s="77"/>
      <c r="K213" s="72"/>
      <c r="L213" s="77"/>
      <c r="M213" s="77"/>
      <c r="N213" s="72"/>
      <c r="O213" s="72"/>
      <c r="P213" s="72"/>
      <c r="Q213" s="72"/>
      <c r="R213" s="77"/>
      <c r="S213" s="72"/>
      <c r="T213" s="72"/>
      <c r="U213" s="334"/>
      <c r="V213" s="72"/>
      <c r="W213" s="72"/>
      <c r="X213" s="72"/>
      <c r="Y213" s="72"/>
      <c r="Z213" s="72"/>
      <c r="AA213" s="54"/>
      <c r="AB213" s="355"/>
      <c r="AC213" s="355"/>
      <c r="AD213" s="355"/>
      <c r="AE213" s="355"/>
    </row>
    <row r="214" spans="1:31" s="216" customFormat="1" ht="11.25" customHeight="1">
      <c r="A214" s="613"/>
      <c r="B214" s="77"/>
      <c r="C214" s="77"/>
      <c r="K214" s="72"/>
      <c r="L214" s="77"/>
      <c r="M214" s="77"/>
      <c r="N214" s="72"/>
      <c r="O214" s="72"/>
      <c r="P214" s="72"/>
      <c r="Q214" s="72"/>
      <c r="R214" s="77"/>
      <c r="S214" s="72"/>
      <c r="T214" s="72"/>
      <c r="U214" s="334"/>
      <c r="V214" s="72"/>
      <c r="W214" s="72"/>
      <c r="X214" s="72"/>
      <c r="Y214" s="72"/>
      <c r="Z214" s="72"/>
      <c r="AA214" s="54"/>
      <c r="AB214" s="355"/>
      <c r="AC214" s="355"/>
      <c r="AD214" s="355"/>
      <c r="AE214" s="355"/>
    </row>
    <row r="215" spans="1:31" s="216" customFormat="1" ht="11.25" customHeight="1">
      <c r="A215" s="613"/>
      <c r="B215" s="77"/>
      <c r="C215" s="77"/>
      <c r="K215" s="72"/>
      <c r="L215" s="77"/>
      <c r="M215" s="77"/>
      <c r="N215" s="72"/>
      <c r="O215" s="72"/>
      <c r="P215" s="72"/>
      <c r="Q215" s="72"/>
      <c r="R215" s="77"/>
      <c r="S215" s="72"/>
      <c r="T215" s="72"/>
      <c r="U215" s="334"/>
      <c r="V215" s="72"/>
      <c r="W215" s="72"/>
      <c r="X215" s="72"/>
      <c r="Y215" s="72"/>
      <c r="Z215" s="72"/>
      <c r="AA215" s="54"/>
      <c r="AB215" s="355"/>
      <c r="AC215" s="355"/>
      <c r="AD215" s="355"/>
      <c r="AE215" s="355"/>
    </row>
    <row r="216" spans="1:31" s="216" customFormat="1" ht="11.25" customHeight="1">
      <c r="A216" s="613"/>
      <c r="B216" s="77"/>
      <c r="C216" s="77"/>
      <c r="K216" s="72"/>
      <c r="L216" s="77"/>
      <c r="M216" s="77"/>
      <c r="N216" s="72"/>
      <c r="O216" s="72"/>
      <c r="P216" s="72"/>
      <c r="Q216" s="72"/>
      <c r="R216" s="77"/>
      <c r="S216" s="72"/>
      <c r="T216" s="72"/>
      <c r="U216" s="334"/>
      <c r="V216" s="72"/>
      <c r="W216" s="72"/>
      <c r="X216" s="72"/>
      <c r="Y216" s="72"/>
      <c r="Z216" s="72"/>
      <c r="AA216" s="54"/>
      <c r="AB216" s="355"/>
      <c r="AC216" s="355"/>
      <c r="AD216" s="355"/>
      <c r="AE216" s="355"/>
    </row>
    <row r="217" spans="1:31" s="216" customFormat="1" ht="11.25" customHeight="1">
      <c r="A217" s="613"/>
      <c r="B217" s="77"/>
      <c r="C217" s="77"/>
      <c r="K217" s="72"/>
      <c r="L217" s="77"/>
      <c r="M217" s="77"/>
      <c r="N217" s="72"/>
      <c r="O217" s="72"/>
      <c r="P217" s="72"/>
      <c r="Q217" s="72"/>
      <c r="R217" s="77"/>
      <c r="S217" s="72"/>
      <c r="T217" s="72"/>
      <c r="U217" s="334"/>
      <c r="V217" s="72"/>
      <c r="W217" s="72"/>
      <c r="X217" s="72"/>
      <c r="Y217" s="72"/>
      <c r="Z217" s="72"/>
      <c r="AA217" s="54"/>
      <c r="AB217" s="355"/>
      <c r="AC217" s="355"/>
      <c r="AD217" s="355"/>
      <c r="AE217" s="355"/>
    </row>
    <row r="218" spans="1:31" s="216" customFormat="1" ht="11.25" customHeight="1">
      <c r="A218" s="613"/>
      <c r="B218" s="77"/>
      <c r="C218" s="77"/>
      <c r="K218" s="72"/>
      <c r="L218" s="77"/>
      <c r="M218" s="77"/>
      <c r="N218" s="72"/>
      <c r="O218" s="72"/>
      <c r="P218" s="72"/>
      <c r="Q218" s="72"/>
      <c r="R218" s="77"/>
      <c r="S218" s="72"/>
      <c r="T218" s="72"/>
      <c r="U218" s="334"/>
      <c r="V218" s="72"/>
      <c r="W218" s="72"/>
      <c r="X218" s="72"/>
      <c r="Y218" s="72"/>
      <c r="Z218" s="72"/>
      <c r="AA218" s="54"/>
      <c r="AB218" s="355"/>
      <c r="AC218" s="355"/>
      <c r="AD218" s="355"/>
      <c r="AE218" s="355"/>
    </row>
    <row r="219" spans="1:31" s="216" customFormat="1" ht="11.25" customHeight="1">
      <c r="A219" s="613"/>
      <c r="B219" s="77"/>
      <c r="C219" s="77"/>
      <c r="K219" s="72"/>
      <c r="L219" s="77"/>
      <c r="M219" s="77"/>
      <c r="N219" s="72"/>
      <c r="O219" s="72"/>
      <c r="P219" s="72"/>
      <c r="Q219" s="72"/>
      <c r="R219" s="77"/>
      <c r="S219" s="72"/>
      <c r="T219" s="72"/>
      <c r="U219" s="334"/>
      <c r="V219" s="72"/>
      <c r="W219" s="72"/>
      <c r="X219" s="72"/>
      <c r="Y219" s="72"/>
      <c r="Z219" s="72"/>
      <c r="AA219" s="54"/>
      <c r="AB219" s="355"/>
      <c r="AC219" s="355"/>
      <c r="AD219" s="355"/>
      <c r="AE219" s="355"/>
    </row>
    <row r="220" spans="1:31" s="216" customFormat="1" ht="11.25" customHeight="1">
      <c r="A220" s="613"/>
      <c r="B220" s="77"/>
      <c r="C220" s="77"/>
      <c r="K220" s="72"/>
      <c r="L220" s="77"/>
      <c r="M220" s="77"/>
      <c r="N220" s="72"/>
      <c r="O220" s="72"/>
      <c r="P220" s="72"/>
      <c r="Q220" s="72"/>
      <c r="R220" s="77"/>
      <c r="S220" s="72"/>
      <c r="T220" s="72"/>
      <c r="U220" s="334"/>
      <c r="V220" s="72"/>
      <c r="W220" s="72"/>
      <c r="X220" s="72"/>
      <c r="Y220" s="72"/>
      <c r="Z220" s="72"/>
      <c r="AA220" s="54"/>
      <c r="AB220" s="355"/>
      <c r="AC220" s="355"/>
      <c r="AD220" s="355"/>
      <c r="AE220" s="355"/>
    </row>
    <row r="221" spans="1:31" s="216" customFormat="1" ht="11.25" customHeight="1">
      <c r="A221" s="613"/>
      <c r="B221" s="77"/>
      <c r="C221" s="77"/>
      <c r="K221" s="72"/>
      <c r="L221" s="77"/>
      <c r="M221" s="77"/>
      <c r="N221" s="72"/>
      <c r="O221" s="72"/>
      <c r="P221" s="72"/>
      <c r="Q221" s="72"/>
      <c r="R221" s="77"/>
      <c r="S221" s="72"/>
      <c r="T221" s="72"/>
      <c r="U221" s="334"/>
      <c r="V221" s="72"/>
      <c r="W221" s="72"/>
      <c r="X221" s="72"/>
      <c r="Y221" s="72"/>
      <c r="Z221" s="72"/>
      <c r="AA221" s="54"/>
      <c r="AB221" s="355"/>
      <c r="AC221" s="355"/>
      <c r="AD221" s="355"/>
      <c r="AE221" s="355"/>
    </row>
    <row r="222" spans="1:31" s="216" customFormat="1" ht="11.25" customHeight="1">
      <c r="A222" s="613"/>
      <c r="B222" s="77"/>
      <c r="C222" s="77"/>
      <c r="K222" s="72"/>
      <c r="L222" s="77"/>
      <c r="M222" s="77"/>
      <c r="N222" s="72"/>
      <c r="O222" s="72"/>
      <c r="P222" s="72"/>
      <c r="Q222" s="72"/>
      <c r="R222" s="77"/>
      <c r="S222" s="72"/>
      <c r="T222" s="72"/>
      <c r="U222" s="334"/>
      <c r="V222" s="72"/>
      <c r="W222" s="72"/>
      <c r="X222" s="72"/>
      <c r="Y222" s="72"/>
      <c r="Z222" s="72"/>
      <c r="AA222" s="54"/>
      <c r="AB222" s="355"/>
      <c r="AC222" s="355"/>
      <c r="AD222" s="355"/>
      <c r="AE222" s="355"/>
    </row>
    <row r="223" spans="1:31" s="216" customFormat="1" ht="11.25" customHeight="1">
      <c r="A223" s="613"/>
      <c r="B223" s="77"/>
      <c r="C223" s="77"/>
      <c r="K223" s="72"/>
      <c r="L223" s="77"/>
      <c r="M223" s="77"/>
      <c r="N223" s="72"/>
      <c r="O223" s="72"/>
      <c r="P223" s="72"/>
      <c r="Q223" s="72"/>
      <c r="R223" s="77"/>
      <c r="S223" s="72"/>
      <c r="T223" s="72"/>
      <c r="U223" s="334"/>
      <c r="V223" s="72"/>
      <c r="W223" s="72"/>
      <c r="X223" s="72"/>
      <c r="Y223" s="72"/>
      <c r="Z223" s="72"/>
      <c r="AA223" s="54"/>
      <c r="AB223" s="355"/>
      <c r="AC223" s="355"/>
      <c r="AD223" s="355"/>
      <c r="AE223" s="355"/>
    </row>
    <row r="224" spans="1:31" s="216" customFormat="1" ht="11.25" customHeight="1">
      <c r="A224" s="613"/>
      <c r="B224" s="77"/>
      <c r="C224" s="77"/>
      <c r="K224" s="72"/>
      <c r="L224" s="77"/>
      <c r="M224" s="77"/>
      <c r="N224" s="72"/>
      <c r="O224" s="72"/>
      <c r="P224" s="72"/>
      <c r="Q224" s="72"/>
      <c r="R224" s="77"/>
      <c r="S224" s="72"/>
      <c r="T224" s="72"/>
      <c r="U224" s="334"/>
      <c r="V224" s="72"/>
      <c r="W224" s="72"/>
      <c r="X224" s="72"/>
      <c r="Y224" s="72"/>
      <c r="Z224" s="72"/>
      <c r="AA224" s="54"/>
      <c r="AB224" s="355"/>
      <c r="AC224" s="355"/>
      <c r="AD224" s="355"/>
      <c r="AE224" s="355"/>
    </row>
    <row r="225" spans="1:31" s="216" customFormat="1" ht="11.25" customHeight="1">
      <c r="A225" s="613"/>
      <c r="B225" s="77"/>
      <c r="C225" s="77"/>
      <c r="K225" s="72"/>
      <c r="L225" s="77"/>
      <c r="M225" s="77"/>
      <c r="N225" s="72"/>
      <c r="O225" s="72"/>
      <c r="P225" s="72"/>
      <c r="Q225" s="72"/>
      <c r="R225" s="77"/>
      <c r="S225" s="72"/>
      <c r="T225" s="72"/>
      <c r="U225" s="334"/>
      <c r="V225" s="72"/>
      <c r="W225" s="72"/>
      <c r="X225" s="72"/>
      <c r="Y225" s="72"/>
      <c r="Z225" s="72"/>
      <c r="AA225" s="54"/>
      <c r="AB225" s="355"/>
      <c r="AC225" s="355"/>
      <c r="AD225" s="355"/>
      <c r="AE225" s="355"/>
    </row>
    <row r="226" spans="1:31" s="216" customFormat="1" ht="11.25" customHeight="1">
      <c r="A226" s="613"/>
      <c r="B226" s="77"/>
      <c r="C226" s="77"/>
      <c r="K226" s="72"/>
      <c r="L226" s="77"/>
      <c r="M226" s="77"/>
      <c r="N226" s="72"/>
      <c r="O226" s="72"/>
      <c r="P226" s="72"/>
      <c r="Q226" s="72"/>
      <c r="R226" s="77"/>
      <c r="S226" s="72"/>
      <c r="T226" s="72"/>
      <c r="U226" s="334"/>
      <c r="V226" s="72"/>
      <c r="W226" s="72"/>
      <c r="X226" s="72"/>
      <c r="Y226" s="72"/>
      <c r="Z226" s="72"/>
      <c r="AA226" s="54"/>
      <c r="AB226" s="355"/>
      <c r="AC226" s="355"/>
      <c r="AD226" s="355"/>
      <c r="AE226" s="355"/>
    </row>
    <row r="227" spans="1:31" s="216" customFormat="1" ht="11.25" customHeight="1">
      <c r="A227" s="613"/>
      <c r="B227" s="77"/>
      <c r="C227" s="77"/>
      <c r="K227" s="72"/>
      <c r="L227" s="77"/>
      <c r="M227" s="77"/>
      <c r="N227" s="72"/>
      <c r="O227" s="72"/>
      <c r="P227" s="72"/>
      <c r="Q227" s="72"/>
      <c r="R227" s="77"/>
      <c r="S227" s="72"/>
      <c r="T227" s="72"/>
      <c r="U227" s="334"/>
      <c r="V227" s="72"/>
      <c r="W227" s="72"/>
      <c r="X227" s="72"/>
      <c r="Y227" s="72"/>
      <c r="Z227" s="72"/>
      <c r="AA227" s="54"/>
      <c r="AB227" s="355"/>
      <c r="AC227" s="355"/>
      <c r="AD227" s="355"/>
      <c r="AE227" s="355"/>
    </row>
    <row r="228" spans="1:31" s="216" customFormat="1" ht="11.25" customHeight="1">
      <c r="A228" s="613"/>
      <c r="B228" s="77"/>
      <c r="C228" s="77"/>
      <c r="K228" s="72"/>
      <c r="L228" s="77"/>
      <c r="M228" s="77"/>
      <c r="N228" s="72"/>
      <c r="O228" s="72"/>
      <c r="P228" s="72"/>
      <c r="Q228" s="72"/>
      <c r="R228" s="77"/>
      <c r="S228" s="72"/>
      <c r="T228" s="72"/>
      <c r="U228" s="334"/>
      <c r="V228" s="72"/>
      <c r="W228" s="72"/>
      <c r="X228" s="72"/>
      <c r="Y228" s="72"/>
      <c r="Z228" s="72"/>
      <c r="AA228" s="54"/>
      <c r="AB228" s="355"/>
      <c r="AC228" s="355"/>
      <c r="AD228" s="355"/>
      <c r="AE228" s="355"/>
    </row>
    <row r="229" spans="1:31" s="216" customFormat="1" ht="11.25" customHeight="1">
      <c r="A229" s="613"/>
      <c r="B229" s="77"/>
      <c r="C229" s="77"/>
      <c r="K229" s="72"/>
      <c r="L229" s="77"/>
      <c r="M229" s="77"/>
      <c r="N229" s="72"/>
      <c r="O229" s="72"/>
      <c r="P229" s="72"/>
      <c r="Q229" s="72"/>
      <c r="R229" s="77"/>
      <c r="S229" s="72"/>
      <c r="T229" s="72"/>
      <c r="U229" s="334"/>
      <c r="V229" s="72"/>
      <c r="W229" s="72"/>
      <c r="X229" s="72"/>
      <c r="Y229" s="72"/>
      <c r="Z229" s="72"/>
      <c r="AA229" s="54"/>
      <c r="AB229" s="355"/>
      <c r="AC229" s="355"/>
      <c r="AD229" s="355"/>
      <c r="AE229" s="355"/>
    </row>
    <row r="230" spans="1:31" s="216" customFormat="1" ht="11.25" customHeight="1">
      <c r="A230" s="613"/>
      <c r="B230" s="77"/>
      <c r="C230" s="77"/>
      <c r="K230" s="72"/>
      <c r="L230" s="77"/>
      <c r="M230" s="77"/>
      <c r="N230" s="72"/>
      <c r="O230" s="72"/>
      <c r="P230" s="72"/>
      <c r="Q230" s="72"/>
      <c r="R230" s="77"/>
      <c r="S230" s="72"/>
      <c r="T230" s="72"/>
      <c r="U230" s="334"/>
      <c r="V230" s="72"/>
      <c r="W230" s="72"/>
      <c r="X230" s="72"/>
      <c r="Y230" s="72"/>
      <c r="Z230" s="72"/>
      <c r="AA230" s="54"/>
      <c r="AB230" s="355"/>
      <c r="AC230" s="355"/>
      <c r="AD230" s="355"/>
      <c r="AE230" s="355"/>
    </row>
    <row r="231" spans="1:31" s="216" customFormat="1" ht="11.25" customHeight="1">
      <c r="A231" s="613"/>
      <c r="B231" s="77"/>
      <c r="C231" s="77"/>
      <c r="K231" s="72"/>
      <c r="L231" s="77"/>
      <c r="M231" s="77"/>
      <c r="N231" s="72"/>
      <c r="O231" s="72"/>
      <c r="P231" s="72"/>
      <c r="Q231" s="72"/>
      <c r="R231" s="77"/>
      <c r="S231" s="72"/>
      <c r="T231" s="72"/>
      <c r="U231" s="334"/>
      <c r="V231" s="72"/>
      <c r="W231" s="72"/>
      <c r="X231" s="72"/>
      <c r="Y231" s="72"/>
      <c r="Z231" s="72"/>
      <c r="AA231" s="54"/>
      <c r="AB231" s="355"/>
      <c r="AC231" s="355"/>
      <c r="AD231" s="355"/>
      <c r="AE231" s="355"/>
    </row>
    <row r="232" spans="1:31" s="216" customFormat="1" ht="11.25" customHeight="1">
      <c r="A232" s="613"/>
      <c r="B232" s="77"/>
      <c r="C232" s="77"/>
      <c r="K232" s="72"/>
      <c r="L232" s="77"/>
      <c r="M232" s="77"/>
      <c r="N232" s="72"/>
      <c r="O232" s="72"/>
      <c r="P232" s="72"/>
      <c r="Q232" s="72"/>
      <c r="R232" s="77"/>
      <c r="S232" s="72"/>
      <c r="T232" s="72"/>
      <c r="U232" s="334"/>
      <c r="V232" s="72"/>
      <c r="W232" s="72"/>
      <c r="X232" s="72"/>
      <c r="Y232" s="72"/>
      <c r="Z232" s="72"/>
      <c r="AA232" s="54"/>
      <c r="AB232" s="355"/>
      <c r="AC232" s="355"/>
      <c r="AD232" s="355"/>
      <c r="AE232" s="355"/>
    </row>
    <row r="233" spans="1:31" s="216" customFormat="1" ht="11.25" customHeight="1">
      <c r="A233" s="613"/>
      <c r="B233" s="77"/>
      <c r="C233" s="77"/>
      <c r="K233" s="72"/>
      <c r="L233" s="77"/>
      <c r="M233" s="77"/>
      <c r="N233" s="72"/>
      <c r="O233" s="72"/>
      <c r="P233" s="72"/>
      <c r="Q233" s="72"/>
      <c r="R233" s="77"/>
      <c r="S233" s="72"/>
      <c r="T233" s="72"/>
      <c r="U233" s="334"/>
      <c r="V233" s="72"/>
      <c r="W233" s="72"/>
      <c r="X233" s="72"/>
      <c r="Y233" s="72"/>
      <c r="Z233" s="72"/>
      <c r="AA233" s="54"/>
      <c r="AB233" s="355"/>
      <c r="AC233" s="355"/>
      <c r="AD233" s="355"/>
      <c r="AE233" s="355"/>
    </row>
    <row r="234" spans="1:31" s="216" customFormat="1" ht="11.25" customHeight="1">
      <c r="A234" s="613"/>
      <c r="B234" s="77"/>
      <c r="C234" s="77"/>
      <c r="K234" s="72"/>
      <c r="L234" s="77"/>
      <c r="M234" s="77"/>
      <c r="N234" s="72"/>
      <c r="O234" s="72"/>
      <c r="P234" s="72"/>
      <c r="Q234" s="72"/>
      <c r="R234" s="77"/>
      <c r="S234" s="72"/>
      <c r="T234" s="72"/>
      <c r="U234" s="334"/>
      <c r="V234" s="72"/>
      <c r="W234" s="72"/>
      <c r="X234" s="72"/>
      <c r="Y234" s="72"/>
      <c r="Z234" s="72"/>
      <c r="AA234" s="54"/>
      <c r="AB234" s="355"/>
      <c r="AC234" s="355"/>
      <c r="AD234" s="355"/>
      <c r="AE234" s="355"/>
    </row>
    <row r="235" spans="1:31" s="216" customFormat="1" ht="11.25" customHeight="1">
      <c r="A235" s="613"/>
      <c r="B235" s="77"/>
      <c r="C235" s="77"/>
      <c r="K235" s="72"/>
      <c r="L235" s="77"/>
      <c r="M235" s="77"/>
      <c r="N235" s="72"/>
      <c r="O235" s="72"/>
      <c r="P235" s="72"/>
      <c r="Q235" s="72"/>
      <c r="R235" s="77"/>
      <c r="S235" s="72"/>
      <c r="T235" s="72"/>
      <c r="U235" s="334"/>
      <c r="V235" s="72"/>
      <c r="W235" s="72"/>
      <c r="X235" s="72"/>
      <c r="Y235" s="72"/>
      <c r="Z235" s="72"/>
      <c r="AA235" s="54"/>
      <c r="AB235" s="355"/>
      <c r="AC235" s="355"/>
      <c r="AD235" s="355"/>
      <c r="AE235" s="355"/>
    </row>
    <row r="236" spans="1:31" s="216" customFormat="1" ht="11.25" customHeight="1">
      <c r="A236" s="613"/>
      <c r="B236" s="77"/>
      <c r="C236" s="77"/>
      <c r="K236" s="72"/>
      <c r="L236" s="77"/>
      <c r="M236" s="77"/>
      <c r="N236" s="72"/>
      <c r="O236" s="72"/>
      <c r="P236" s="72"/>
      <c r="Q236" s="72"/>
      <c r="R236" s="77"/>
      <c r="S236" s="72"/>
      <c r="T236" s="72"/>
      <c r="U236" s="334"/>
      <c r="V236" s="72"/>
      <c r="W236" s="72"/>
      <c r="X236" s="72"/>
      <c r="Y236" s="72"/>
      <c r="Z236" s="72"/>
      <c r="AA236" s="54"/>
      <c r="AB236" s="355"/>
      <c r="AC236" s="355"/>
      <c r="AD236" s="355"/>
      <c r="AE236" s="355"/>
    </row>
    <row r="237" spans="1:31" s="216" customFormat="1" ht="11.25" customHeight="1">
      <c r="A237" s="613"/>
      <c r="B237" s="77"/>
      <c r="C237" s="77"/>
      <c r="K237" s="72"/>
      <c r="L237" s="77"/>
      <c r="M237" s="77"/>
      <c r="N237" s="72"/>
      <c r="O237" s="72"/>
      <c r="P237" s="72"/>
      <c r="Q237" s="72"/>
      <c r="R237" s="77"/>
      <c r="S237" s="72"/>
      <c r="T237" s="72"/>
      <c r="U237" s="334"/>
      <c r="V237" s="72"/>
      <c r="W237" s="72"/>
      <c r="X237" s="72"/>
      <c r="Y237" s="72"/>
      <c r="Z237" s="72"/>
      <c r="AA237" s="54"/>
      <c r="AB237" s="355"/>
      <c r="AC237" s="355"/>
      <c r="AD237" s="355"/>
      <c r="AE237" s="355"/>
    </row>
    <row r="238" spans="1:31" s="216" customFormat="1" ht="11.25" customHeight="1">
      <c r="A238" s="613"/>
      <c r="B238" s="77"/>
      <c r="C238" s="77"/>
      <c r="K238" s="72"/>
      <c r="L238" s="77"/>
      <c r="M238" s="77"/>
      <c r="N238" s="72"/>
      <c r="O238" s="72"/>
      <c r="P238" s="72"/>
      <c r="Q238" s="72"/>
      <c r="R238" s="77"/>
      <c r="S238" s="72"/>
      <c r="T238" s="72"/>
      <c r="U238" s="334"/>
      <c r="V238" s="72"/>
      <c r="W238" s="72"/>
      <c r="X238" s="72"/>
      <c r="Y238" s="72"/>
      <c r="Z238" s="72"/>
      <c r="AA238" s="54"/>
      <c r="AB238" s="355"/>
      <c r="AC238" s="355"/>
      <c r="AD238" s="355"/>
      <c r="AE238" s="355"/>
    </row>
    <row r="239" spans="1:31" s="216" customFormat="1" ht="11.25" customHeight="1">
      <c r="A239" s="613"/>
      <c r="B239" s="77"/>
      <c r="C239" s="77"/>
      <c r="K239" s="72"/>
      <c r="L239" s="77"/>
      <c r="M239" s="77"/>
      <c r="N239" s="72"/>
      <c r="O239" s="72"/>
      <c r="P239" s="72"/>
      <c r="Q239" s="72"/>
      <c r="R239" s="77"/>
      <c r="S239" s="72"/>
      <c r="T239" s="72"/>
      <c r="U239" s="334"/>
      <c r="V239" s="72"/>
      <c r="W239" s="72"/>
      <c r="X239" s="72"/>
      <c r="Y239" s="72"/>
      <c r="Z239" s="72"/>
      <c r="AA239" s="54"/>
      <c r="AB239" s="355"/>
      <c r="AC239" s="355"/>
      <c r="AD239" s="355"/>
      <c r="AE239" s="355"/>
    </row>
    <row r="240" spans="1:31" s="216" customFormat="1" ht="11.25" customHeight="1">
      <c r="A240" s="613"/>
      <c r="B240" s="77"/>
      <c r="C240" s="77"/>
      <c r="K240" s="72"/>
      <c r="L240" s="77"/>
      <c r="M240" s="77"/>
      <c r="N240" s="72"/>
      <c r="O240" s="72"/>
      <c r="P240" s="72"/>
      <c r="Q240" s="72"/>
      <c r="R240" s="77"/>
      <c r="S240" s="72"/>
      <c r="T240" s="72"/>
      <c r="U240" s="334"/>
      <c r="V240" s="72"/>
      <c r="W240" s="72"/>
      <c r="X240" s="72"/>
      <c r="Y240" s="72"/>
      <c r="Z240" s="72"/>
      <c r="AA240" s="54"/>
      <c r="AB240" s="355"/>
      <c r="AC240" s="355"/>
      <c r="AD240" s="355"/>
      <c r="AE240" s="355"/>
    </row>
    <row r="241" spans="1:31" s="216" customFormat="1" ht="11.25" customHeight="1">
      <c r="A241" s="613"/>
      <c r="B241" s="77"/>
      <c r="C241" s="77"/>
      <c r="K241" s="72"/>
      <c r="L241" s="77"/>
      <c r="M241" s="77"/>
      <c r="N241" s="72"/>
      <c r="O241" s="72"/>
      <c r="P241" s="72"/>
      <c r="Q241" s="72"/>
      <c r="R241" s="77"/>
      <c r="S241" s="72"/>
      <c r="T241" s="72"/>
      <c r="U241" s="334"/>
      <c r="V241" s="72"/>
      <c r="W241" s="72"/>
      <c r="X241" s="72"/>
      <c r="Y241" s="72"/>
      <c r="Z241" s="72"/>
      <c r="AA241" s="54"/>
      <c r="AB241" s="355"/>
      <c r="AC241" s="355"/>
      <c r="AD241" s="355"/>
      <c r="AE241" s="355"/>
    </row>
    <row r="242" spans="1:31" s="216" customFormat="1" ht="11.25" customHeight="1">
      <c r="A242" s="613"/>
      <c r="B242" s="77"/>
      <c r="C242" s="77"/>
      <c r="K242" s="72"/>
      <c r="L242" s="77"/>
      <c r="M242" s="77"/>
      <c r="N242" s="72"/>
      <c r="O242" s="72"/>
      <c r="P242" s="72"/>
      <c r="Q242" s="72"/>
      <c r="R242" s="77"/>
      <c r="S242" s="72"/>
      <c r="T242" s="72"/>
      <c r="U242" s="334"/>
      <c r="V242" s="72"/>
      <c r="W242" s="72"/>
      <c r="X242" s="72"/>
      <c r="Y242" s="72"/>
      <c r="Z242" s="72"/>
      <c r="AA242" s="54"/>
      <c r="AB242" s="355"/>
      <c r="AC242" s="355"/>
      <c r="AD242" s="355"/>
      <c r="AE242" s="355"/>
    </row>
    <row r="243" spans="1:31" s="216" customFormat="1" ht="11.25" customHeight="1">
      <c r="A243" s="613"/>
      <c r="B243" s="77"/>
      <c r="C243" s="77"/>
      <c r="K243" s="72"/>
      <c r="L243" s="77"/>
      <c r="M243" s="77"/>
      <c r="N243" s="72"/>
      <c r="O243" s="72"/>
      <c r="P243" s="72"/>
      <c r="Q243" s="72"/>
      <c r="R243" s="77"/>
      <c r="S243" s="72"/>
      <c r="T243" s="72"/>
      <c r="U243" s="334"/>
      <c r="V243" s="72"/>
      <c r="W243" s="72"/>
      <c r="X243" s="72"/>
      <c r="Y243" s="72"/>
      <c r="Z243" s="72"/>
      <c r="AA243" s="54"/>
      <c r="AB243" s="355"/>
      <c r="AC243" s="355"/>
      <c r="AD243" s="355"/>
      <c r="AE243" s="355"/>
    </row>
    <row r="244" spans="1:31" s="216" customFormat="1" ht="11.25" customHeight="1">
      <c r="A244" s="613"/>
      <c r="B244" s="77"/>
      <c r="C244" s="77"/>
      <c r="K244" s="72"/>
      <c r="L244" s="77"/>
      <c r="M244" s="77"/>
      <c r="N244" s="72"/>
      <c r="O244" s="72"/>
      <c r="P244" s="72"/>
      <c r="Q244" s="72"/>
      <c r="R244" s="77"/>
      <c r="S244" s="72"/>
      <c r="T244" s="72"/>
      <c r="U244" s="334"/>
      <c r="V244" s="72"/>
      <c r="W244" s="72"/>
      <c r="X244" s="72"/>
      <c r="Y244" s="72"/>
      <c r="Z244" s="72"/>
      <c r="AA244" s="54"/>
      <c r="AB244" s="355"/>
      <c r="AC244" s="355"/>
      <c r="AD244" s="355"/>
      <c r="AE244" s="355"/>
    </row>
    <row r="245" spans="1:31" s="216" customFormat="1" ht="11.25" customHeight="1">
      <c r="A245" s="613"/>
      <c r="B245" s="77"/>
      <c r="C245" s="77"/>
      <c r="K245" s="72"/>
      <c r="L245" s="77"/>
      <c r="M245" s="77"/>
      <c r="N245" s="72"/>
      <c r="O245" s="72"/>
      <c r="P245" s="72"/>
      <c r="Q245" s="72"/>
      <c r="R245" s="77"/>
      <c r="S245" s="72"/>
      <c r="T245" s="72"/>
      <c r="U245" s="334"/>
      <c r="V245" s="72"/>
      <c r="W245" s="72"/>
      <c r="X245" s="72"/>
      <c r="Y245" s="72"/>
      <c r="Z245" s="72"/>
      <c r="AA245" s="54"/>
      <c r="AB245" s="355"/>
      <c r="AC245" s="355"/>
      <c r="AD245" s="355"/>
      <c r="AE245" s="355"/>
    </row>
    <row r="246" spans="1:31" s="216" customFormat="1" ht="11.25" customHeight="1">
      <c r="A246" s="613"/>
      <c r="B246" s="77"/>
      <c r="C246" s="77"/>
      <c r="K246" s="72"/>
      <c r="L246" s="77"/>
      <c r="M246" s="77"/>
      <c r="N246" s="72"/>
      <c r="O246" s="72"/>
      <c r="P246" s="72"/>
      <c r="Q246" s="72"/>
      <c r="R246" s="77"/>
      <c r="S246" s="72"/>
      <c r="T246" s="72"/>
      <c r="U246" s="334"/>
      <c r="V246" s="72"/>
      <c r="W246" s="72"/>
      <c r="X246" s="72"/>
      <c r="Y246" s="72"/>
      <c r="Z246" s="72"/>
      <c r="AA246" s="54"/>
      <c r="AB246" s="355"/>
      <c r="AC246" s="355"/>
      <c r="AD246" s="355"/>
      <c r="AE246" s="355"/>
    </row>
    <row r="247" spans="1:31" s="216" customFormat="1" ht="11.25" customHeight="1">
      <c r="A247" s="613"/>
      <c r="B247" s="77"/>
      <c r="C247" s="77"/>
      <c r="K247" s="72"/>
      <c r="L247" s="77"/>
      <c r="M247" s="77"/>
      <c r="N247" s="72"/>
      <c r="O247" s="72"/>
      <c r="P247" s="72"/>
      <c r="Q247" s="72"/>
      <c r="R247" s="77"/>
      <c r="S247" s="72"/>
      <c r="T247" s="72"/>
      <c r="U247" s="334"/>
      <c r="V247" s="72"/>
      <c r="W247" s="72"/>
      <c r="X247" s="72"/>
      <c r="Y247" s="72"/>
      <c r="Z247" s="72"/>
      <c r="AA247" s="54"/>
      <c r="AB247" s="355"/>
      <c r="AC247" s="355"/>
      <c r="AD247" s="355"/>
      <c r="AE247" s="355"/>
    </row>
    <row r="248" spans="1:31" s="216" customFormat="1" ht="11.25" customHeight="1">
      <c r="A248" s="613"/>
      <c r="B248" s="77"/>
      <c r="C248" s="77"/>
      <c r="K248" s="72"/>
      <c r="L248" s="77"/>
      <c r="M248" s="77"/>
      <c r="N248" s="72"/>
      <c r="O248" s="72"/>
      <c r="P248" s="72"/>
      <c r="Q248" s="72"/>
      <c r="R248" s="77"/>
      <c r="S248" s="72"/>
      <c r="T248" s="72"/>
      <c r="U248" s="334"/>
      <c r="V248" s="72"/>
      <c r="W248" s="72"/>
      <c r="X248" s="72"/>
      <c r="Y248" s="72"/>
      <c r="Z248" s="72"/>
      <c r="AA248" s="54"/>
      <c r="AB248" s="355"/>
      <c r="AC248" s="355"/>
      <c r="AD248" s="355"/>
      <c r="AE248" s="355"/>
    </row>
    <row r="249" spans="1:31" s="216" customFormat="1" ht="11.25" customHeight="1">
      <c r="A249" s="613"/>
      <c r="B249" s="77"/>
      <c r="C249" s="77"/>
      <c r="K249" s="72"/>
      <c r="L249" s="77"/>
      <c r="M249" s="77"/>
      <c r="N249" s="72"/>
      <c r="O249" s="72"/>
      <c r="P249" s="72"/>
      <c r="Q249" s="72"/>
      <c r="R249" s="77"/>
      <c r="S249" s="72"/>
      <c r="T249" s="72"/>
      <c r="U249" s="334"/>
      <c r="V249" s="72"/>
      <c r="W249" s="72"/>
      <c r="X249" s="72"/>
      <c r="Y249" s="72"/>
      <c r="Z249" s="72"/>
      <c r="AA249" s="54"/>
      <c r="AB249" s="355"/>
      <c r="AC249" s="355"/>
      <c r="AD249" s="355"/>
      <c r="AE249" s="355"/>
    </row>
    <row r="250" spans="1:31" s="216" customFormat="1" ht="11.25" customHeight="1">
      <c r="A250" s="613"/>
      <c r="B250" s="77"/>
      <c r="C250" s="77"/>
      <c r="K250" s="72"/>
      <c r="L250" s="77"/>
      <c r="M250" s="77"/>
      <c r="N250" s="72"/>
      <c r="O250" s="72"/>
      <c r="P250" s="72"/>
      <c r="Q250" s="72"/>
      <c r="R250" s="77"/>
      <c r="S250" s="72"/>
      <c r="T250" s="72"/>
      <c r="U250" s="334"/>
      <c r="V250" s="72"/>
      <c r="W250" s="72"/>
      <c r="X250" s="72"/>
      <c r="Y250" s="72"/>
      <c r="Z250" s="72"/>
      <c r="AA250" s="54"/>
      <c r="AB250" s="355"/>
      <c r="AC250" s="355"/>
      <c r="AD250" s="355"/>
      <c r="AE250" s="355"/>
    </row>
    <row r="251" spans="1:31" s="216" customFormat="1" ht="11.25" customHeight="1">
      <c r="A251" s="613"/>
      <c r="B251" s="77"/>
      <c r="C251" s="77"/>
      <c r="K251" s="72"/>
      <c r="L251" s="77"/>
      <c r="M251" s="77"/>
      <c r="N251" s="72"/>
      <c r="O251" s="72"/>
      <c r="P251" s="72"/>
      <c r="Q251" s="72"/>
      <c r="R251" s="77"/>
      <c r="S251" s="72"/>
      <c r="T251" s="72"/>
      <c r="U251" s="334"/>
      <c r="V251" s="72"/>
      <c r="W251" s="72"/>
      <c r="X251" s="72"/>
      <c r="Y251" s="72"/>
      <c r="Z251" s="72"/>
      <c r="AA251" s="54"/>
      <c r="AB251" s="355"/>
      <c r="AC251" s="355"/>
      <c r="AD251" s="355"/>
      <c r="AE251" s="355"/>
    </row>
    <row r="252" spans="1:31" s="216" customFormat="1" ht="11.25" customHeight="1">
      <c r="A252" s="613"/>
      <c r="B252" s="77"/>
      <c r="C252" s="77"/>
      <c r="K252" s="72"/>
      <c r="L252" s="77"/>
      <c r="M252" s="77"/>
      <c r="N252" s="72"/>
      <c r="O252" s="72"/>
      <c r="P252" s="72"/>
      <c r="Q252" s="72"/>
      <c r="R252" s="77"/>
      <c r="S252" s="72"/>
      <c r="T252" s="72"/>
      <c r="U252" s="334"/>
      <c r="V252" s="72"/>
      <c r="W252" s="72"/>
      <c r="X252" s="72"/>
      <c r="Y252" s="72"/>
      <c r="Z252" s="72"/>
      <c r="AA252" s="54"/>
      <c r="AB252" s="355"/>
      <c r="AC252" s="355"/>
      <c r="AD252" s="355"/>
      <c r="AE252" s="355"/>
    </row>
    <row r="253" spans="1:31" s="216" customFormat="1" ht="11.25" customHeight="1">
      <c r="A253" s="613"/>
      <c r="B253" s="77"/>
      <c r="C253" s="77"/>
      <c r="K253" s="72"/>
      <c r="L253" s="77"/>
      <c r="M253" s="77"/>
      <c r="N253" s="72"/>
      <c r="O253" s="72"/>
      <c r="P253" s="72"/>
      <c r="Q253" s="72"/>
      <c r="R253" s="77"/>
      <c r="S253" s="72"/>
      <c r="T253" s="72"/>
      <c r="U253" s="334"/>
      <c r="V253" s="72"/>
      <c r="W253" s="72"/>
      <c r="X253" s="72"/>
      <c r="Y253" s="72"/>
      <c r="Z253" s="72"/>
      <c r="AA253" s="54"/>
      <c r="AB253" s="355"/>
      <c r="AC253" s="355"/>
      <c r="AD253" s="355"/>
      <c r="AE253" s="355"/>
    </row>
    <row r="254" spans="1:31" s="216" customFormat="1" ht="11.25" customHeight="1">
      <c r="A254" s="613"/>
      <c r="B254" s="77"/>
      <c r="C254" s="77"/>
      <c r="K254" s="72"/>
      <c r="L254" s="77"/>
      <c r="M254" s="77"/>
      <c r="N254" s="72"/>
      <c r="O254" s="72"/>
      <c r="P254" s="72"/>
      <c r="Q254" s="72"/>
      <c r="R254" s="77"/>
      <c r="S254" s="72"/>
      <c r="T254" s="72"/>
      <c r="U254" s="334"/>
      <c r="V254" s="72"/>
      <c r="W254" s="72"/>
      <c r="X254" s="72"/>
      <c r="Y254" s="72"/>
      <c r="Z254" s="72"/>
      <c r="AA254" s="54"/>
      <c r="AB254" s="355"/>
      <c r="AC254" s="355"/>
      <c r="AD254" s="355"/>
      <c r="AE254" s="355"/>
    </row>
    <row r="255" spans="1:31" s="216" customFormat="1" ht="11.25" customHeight="1">
      <c r="A255" s="613"/>
      <c r="B255" s="77"/>
      <c r="C255" s="77"/>
      <c r="K255" s="72"/>
      <c r="L255" s="77"/>
      <c r="M255" s="77"/>
      <c r="N255" s="72"/>
      <c r="O255" s="72"/>
      <c r="P255" s="72"/>
      <c r="Q255" s="72"/>
      <c r="R255" s="77"/>
      <c r="S255" s="72"/>
      <c r="T255" s="72"/>
      <c r="U255" s="334"/>
      <c r="V255" s="72"/>
      <c r="W255" s="72"/>
      <c r="X255" s="72"/>
      <c r="Y255" s="72"/>
      <c r="Z255" s="72"/>
      <c r="AA255" s="54"/>
      <c r="AB255" s="355"/>
      <c r="AC255" s="355"/>
      <c r="AD255" s="355"/>
      <c r="AE255" s="355"/>
    </row>
    <row r="256" spans="1:31" s="216" customFormat="1" ht="11.25" customHeight="1">
      <c r="A256" s="613"/>
      <c r="B256" s="77"/>
      <c r="C256" s="77"/>
      <c r="K256" s="72"/>
      <c r="L256" s="77"/>
      <c r="M256" s="77"/>
      <c r="N256" s="72"/>
      <c r="O256" s="72"/>
      <c r="P256" s="72"/>
      <c r="Q256" s="72"/>
      <c r="R256" s="77"/>
      <c r="S256" s="72"/>
      <c r="T256" s="72"/>
      <c r="U256" s="334"/>
      <c r="V256" s="72"/>
      <c r="W256" s="72"/>
      <c r="X256" s="72"/>
      <c r="Y256" s="72"/>
      <c r="Z256" s="72"/>
      <c r="AA256" s="54"/>
      <c r="AB256" s="355"/>
      <c r="AC256" s="355"/>
      <c r="AD256" s="355"/>
      <c r="AE256" s="355"/>
    </row>
    <row r="257" spans="1:31" s="216" customFormat="1" ht="11.25" customHeight="1">
      <c r="A257" s="613"/>
      <c r="B257" s="77"/>
      <c r="C257" s="77"/>
      <c r="K257" s="72"/>
      <c r="L257" s="77"/>
      <c r="M257" s="77"/>
      <c r="N257" s="72"/>
      <c r="O257" s="72"/>
      <c r="P257" s="72"/>
      <c r="Q257" s="72"/>
      <c r="R257" s="77"/>
      <c r="S257" s="72"/>
      <c r="T257" s="72"/>
      <c r="U257" s="334"/>
      <c r="V257" s="72"/>
      <c r="W257" s="72"/>
      <c r="X257" s="72"/>
      <c r="Y257" s="72"/>
      <c r="Z257" s="72"/>
      <c r="AA257" s="54"/>
      <c r="AB257" s="355"/>
      <c r="AC257" s="355"/>
      <c r="AD257" s="355"/>
      <c r="AE257" s="355"/>
    </row>
    <row r="258" spans="1:31" s="216" customFormat="1" ht="11.25" customHeight="1">
      <c r="A258" s="613"/>
      <c r="B258" s="77"/>
      <c r="C258" s="77"/>
      <c r="K258" s="72"/>
      <c r="L258" s="77"/>
      <c r="M258" s="77"/>
      <c r="N258" s="72"/>
      <c r="O258" s="72"/>
      <c r="P258" s="72"/>
      <c r="Q258" s="72"/>
      <c r="R258" s="77"/>
      <c r="S258" s="72"/>
      <c r="T258" s="72"/>
      <c r="U258" s="334"/>
      <c r="V258" s="72"/>
      <c r="W258" s="72"/>
      <c r="X258" s="72"/>
      <c r="Y258" s="72"/>
      <c r="Z258" s="72"/>
      <c r="AA258" s="54"/>
      <c r="AB258" s="355"/>
      <c r="AC258" s="355"/>
      <c r="AD258" s="355"/>
      <c r="AE258" s="355"/>
    </row>
    <row r="259" spans="1:31" s="216" customFormat="1" ht="11.25" customHeight="1">
      <c r="A259" s="613"/>
      <c r="B259" s="77"/>
      <c r="C259" s="77"/>
      <c r="K259" s="72"/>
      <c r="L259" s="77"/>
      <c r="M259" s="77"/>
      <c r="N259" s="72"/>
      <c r="O259" s="72"/>
      <c r="P259" s="72"/>
      <c r="Q259" s="72"/>
      <c r="R259" s="77"/>
      <c r="S259" s="72"/>
      <c r="T259" s="72"/>
      <c r="U259" s="334"/>
      <c r="V259" s="72"/>
      <c r="W259" s="72"/>
      <c r="X259" s="72"/>
      <c r="Y259" s="72"/>
      <c r="Z259" s="72"/>
      <c r="AA259" s="54"/>
      <c r="AB259" s="355"/>
      <c r="AC259" s="355"/>
      <c r="AD259" s="355"/>
      <c r="AE259" s="355"/>
    </row>
    <row r="260" spans="1:31" s="216" customFormat="1" ht="11.25" customHeight="1">
      <c r="A260" s="613"/>
      <c r="B260" s="77"/>
      <c r="C260" s="77"/>
      <c r="K260" s="72"/>
      <c r="L260" s="77"/>
      <c r="M260" s="77"/>
      <c r="N260" s="72"/>
      <c r="O260" s="72"/>
      <c r="P260" s="72"/>
      <c r="Q260" s="72"/>
      <c r="R260" s="77"/>
      <c r="S260" s="72"/>
      <c r="T260" s="72"/>
      <c r="U260" s="334"/>
      <c r="V260" s="72"/>
      <c r="W260" s="72"/>
      <c r="X260" s="72"/>
      <c r="Y260" s="72"/>
      <c r="Z260" s="72"/>
      <c r="AA260" s="54"/>
      <c r="AB260" s="355"/>
      <c r="AC260" s="355"/>
      <c r="AD260" s="355"/>
      <c r="AE260" s="355"/>
    </row>
    <row r="261" spans="1:31" s="216" customFormat="1" ht="11.25" customHeight="1">
      <c r="A261" s="613"/>
      <c r="B261" s="77"/>
      <c r="C261" s="77"/>
      <c r="K261" s="72"/>
      <c r="L261" s="77"/>
      <c r="M261" s="77"/>
      <c r="N261" s="72"/>
      <c r="O261" s="72"/>
      <c r="P261" s="72"/>
      <c r="Q261" s="72"/>
      <c r="R261" s="77"/>
      <c r="S261" s="72"/>
      <c r="T261" s="72"/>
      <c r="U261" s="334"/>
      <c r="V261" s="72"/>
      <c r="W261" s="72"/>
      <c r="X261" s="72"/>
      <c r="Y261" s="72"/>
      <c r="Z261" s="72"/>
      <c r="AA261" s="54"/>
      <c r="AB261" s="355"/>
      <c r="AC261" s="355"/>
      <c r="AD261" s="355"/>
      <c r="AE261" s="355"/>
    </row>
    <row r="262" spans="1:31" s="216" customFormat="1" ht="11.25" customHeight="1">
      <c r="A262" s="613"/>
      <c r="B262" s="77"/>
      <c r="C262" s="77"/>
      <c r="K262" s="72"/>
      <c r="L262" s="77"/>
      <c r="M262" s="77"/>
      <c r="N262" s="72"/>
      <c r="O262" s="72"/>
      <c r="P262" s="72"/>
      <c r="Q262" s="72"/>
      <c r="R262" s="77"/>
      <c r="S262" s="72"/>
      <c r="T262" s="72"/>
      <c r="U262" s="334"/>
      <c r="V262" s="72"/>
      <c r="W262" s="72"/>
      <c r="X262" s="72"/>
      <c r="Y262" s="72"/>
      <c r="Z262" s="72"/>
      <c r="AA262" s="54"/>
      <c r="AB262" s="355"/>
      <c r="AC262" s="355"/>
      <c r="AD262" s="355"/>
      <c r="AE262" s="355"/>
    </row>
    <row r="263" spans="1:31" s="216" customFormat="1" ht="11.25" customHeight="1">
      <c r="A263" s="613"/>
      <c r="B263" s="77"/>
      <c r="C263" s="77"/>
      <c r="K263" s="72"/>
      <c r="L263" s="77"/>
      <c r="M263" s="77"/>
      <c r="N263" s="72"/>
      <c r="O263" s="72"/>
      <c r="P263" s="72"/>
      <c r="Q263" s="72"/>
      <c r="R263" s="77"/>
      <c r="S263" s="72"/>
      <c r="T263" s="72"/>
      <c r="U263" s="334"/>
      <c r="V263" s="72"/>
      <c r="W263" s="72"/>
      <c r="X263" s="72"/>
      <c r="Y263" s="72"/>
      <c r="Z263" s="72"/>
      <c r="AA263" s="54"/>
      <c r="AB263" s="355"/>
      <c r="AC263" s="355"/>
      <c r="AD263" s="355"/>
      <c r="AE263" s="355"/>
    </row>
    <row r="264" spans="1:31" s="216" customFormat="1" ht="11.25" customHeight="1">
      <c r="A264" s="613"/>
      <c r="B264" s="77"/>
      <c r="C264" s="77"/>
      <c r="K264" s="72"/>
      <c r="L264" s="77"/>
      <c r="M264" s="77"/>
      <c r="N264" s="72"/>
      <c r="O264" s="72"/>
      <c r="P264" s="72"/>
      <c r="Q264" s="72"/>
      <c r="R264" s="77"/>
      <c r="S264" s="72"/>
      <c r="T264" s="72"/>
      <c r="U264" s="334"/>
      <c r="V264" s="72"/>
      <c r="W264" s="72"/>
      <c r="X264" s="72"/>
      <c r="Y264" s="72"/>
      <c r="Z264" s="72"/>
      <c r="AA264" s="54"/>
      <c r="AB264" s="355"/>
      <c r="AC264" s="355"/>
      <c r="AD264" s="355"/>
      <c r="AE264" s="355"/>
    </row>
    <row r="265" spans="1:31" s="216" customFormat="1" ht="11.25" customHeight="1">
      <c r="A265" s="613"/>
      <c r="B265" s="77"/>
      <c r="C265" s="77"/>
      <c r="K265" s="72"/>
      <c r="L265" s="77"/>
      <c r="M265" s="77"/>
      <c r="N265" s="72"/>
      <c r="O265" s="72"/>
      <c r="P265" s="72"/>
      <c r="Q265" s="72"/>
      <c r="R265" s="77"/>
      <c r="S265" s="72"/>
      <c r="T265" s="72"/>
      <c r="U265" s="334"/>
      <c r="V265" s="72"/>
      <c r="W265" s="72"/>
      <c r="X265" s="72"/>
      <c r="Y265" s="72"/>
      <c r="Z265" s="72"/>
      <c r="AA265" s="54"/>
      <c r="AB265" s="355"/>
      <c r="AC265" s="355"/>
      <c r="AD265" s="355"/>
      <c r="AE265" s="355"/>
    </row>
    <row r="266" spans="1:31" s="216" customFormat="1" ht="11.25" customHeight="1">
      <c r="A266" s="613"/>
      <c r="B266" s="77"/>
      <c r="C266" s="77"/>
      <c r="K266" s="72"/>
      <c r="L266" s="77"/>
      <c r="M266" s="77"/>
      <c r="N266" s="72"/>
      <c r="O266" s="72"/>
      <c r="P266" s="72"/>
      <c r="Q266" s="72"/>
      <c r="R266" s="77"/>
      <c r="S266" s="72"/>
      <c r="T266" s="72"/>
      <c r="U266" s="334"/>
      <c r="V266" s="72"/>
      <c r="W266" s="72"/>
      <c r="X266" s="72"/>
      <c r="Y266" s="72"/>
      <c r="Z266" s="72"/>
      <c r="AA266" s="54"/>
      <c r="AB266" s="355"/>
      <c r="AC266" s="355"/>
      <c r="AD266" s="355"/>
      <c r="AE266" s="355"/>
    </row>
    <row r="267" spans="1:31" s="216" customFormat="1" ht="11.25" customHeight="1">
      <c r="A267" s="613"/>
      <c r="B267" s="77"/>
      <c r="C267" s="77"/>
      <c r="K267" s="72"/>
      <c r="L267" s="77"/>
      <c r="M267" s="77"/>
      <c r="N267" s="72"/>
      <c r="O267" s="72"/>
      <c r="P267" s="72"/>
      <c r="Q267" s="72"/>
      <c r="R267" s="77"/>
      <c r="S267" s="72"/>
      <c r="T267" s="72"/>
      <c r="U267" s="334"/>
      <c r="V267" s="72"/>
      <c r="W267" s="72"/>
      <c r="X267" s="72"/>
      <c r="Y267" s="72"/>
      <c r="Z267" s="72"/>
      <c r="AA267" s="54"/>
      <c r="AB267" s="355"/>
      <c r="AC267" s="355"/>
      <c r="AD267" s="355"/>
      <c r="AE267" s="355"/>
    </row>
    <row r="268" spans="1:31" s="216" customFormat="1" ht="11.25" customHeight="1">
      <c r="A268" s="613"/>
      <c r="B268" s="77"/>
      <c r="C268" s="77"/>
      <c r="K268" s="72"/>
      <c r="L268" s="77"/>
      <c r="M268" s="77"/>
      <c r="N268" s="72"/>
      <c r="O268" s="72"/>
      <c r="P268" s="72"/>
      <c r="Q268" s="72"/>
      <c r="R268" s="77"/>
      <c r="S268" s="72"/>
      <c r="T268" s="72"/>
      <c r="U268" s="334"/>
      <c r="V268" s="72"/>
      <c r="W268" s="72"/>
      <c r="X268" s="72"/>
      <c r="Y268" s="72"/>
      <c r="Z268" s="72"/>
      <c r="AA268" s="54"/>
      <c r="AB268" s="355"/>
      <c r="AC268" s="355"/>
      <c r="AD268" s="355"/>
      <c r="AE268" s="355"/>
    </row>
    <row r="269" spans="1:31" s="216" customFormat="1" ht="11.25" customHeight="1">
      <c r="A269" s="613"/>
      <c r="B269" s="77"/>
      <c r="C269" s="77"/>
      <c r="K269" s="72"/>
      <c r="L269" s="77"/>
      <c r="M269" s="77"/>
      <c r="N269" s="72"/>
      <c r="O269" s="72"/>
      <c r="P269" s="72"/>
      <c r="Q269" s="72"/>
      <c r="R269" s="77"/>
      <c r="S269" s="72"/>
      <c r="T269" s="72"/>
      <c r="U269" s="334"/>
      <c r="V269" s="72"/>
      <c r="W269" s="72"/>
      <c r="X269" s="72"/>
      <c r="Y269" s="72"/>
      <c r="Z269" s="72"/>
      <c r="AA269" s="54"/>
      <c r="AB269" s="355"/>
      <c r="AC269" s="355"/>
      <c r="AD269" s="355"/>
      <c r="AE269" s="355"/>
    </row>
    <row r="270" spans="1:31" s="216" customFormat="1" ht="11.25" customHeight="1">
      <c r="A270" s="613"/>
      <c r="B270" s="77"/>
      <c r="C270" s="77"/>
      <c r="K270" s="72"/>
      <c r="L270" s="77"/>
      <c r="M270" s="77"/>
      <c r="N270" s="72"/>
      <c r="O270" s="72"/>
      <c r="P270" s="72"/>
      <c r="Q270" s="72"/>
      <c r="R270" s="77"/>
      <c r="S270" s="72"/>
      <c r="T270" s="72"/>
      <c r="U270" s="334"/>
      <c r="V270" s="72"/>
      <c r="W270" s="72"/>
      <c r="X270" s="72"/>
      <c r="Y270" s="72"/>
      <c r="Z270" s="72"/>
      <c r="AA270" s="54"/>
      <c r="AB270" s="355"/>
      <c r="AC270" s="355"/>
      <c r="AD270" s="355"/>
      <c r="AE270" s="355"/>
    </row>
    <row r="271" spans="1:31" s="216" customFormat="1" ht="11.25" customHeight="1">
      <c r="A271" s="613"/>
      <c r="B271" s="77"/>
      <c r="C271" s="77"/>
      <c r="K271" s="72"/>
      <c r="L271" s="77"/>
      <c r="M271" s="77"/>
      <c r="N271" s="72"/>
      <c r="O271" s="72"/>
      <c r="P271" s="72"/>
      <c r="Q271" s="72"/>
      <c r="R271" s="77"/>
      <c r="S271" s="72"/>
      <c r="T271" s="72"/>
      <c r="U271" s="334"/>
      <c r="V271" s="72"/>
      <c r="W271" s="72"/>
      <c r="X271" s="72"/>
      <c r="Y271" s="72"/>
      <c r="Z271" s="72"/>
      <c r="AA271" s="54"/>
      <c r="AB271" s="355"/>
      <c r="AC271" s="355"/>
      <c r="AD271" s="355"/>
      <c r="AE271" s="355"/>
    </row>
    <row r="272" spans="1:31" s="216" customFormat="1" ht="11.25" customHeight="1">
      <c r="A272" s="613"/>
      <c r="B272" s="77"/>
      <c r="C272" s="77"/>
      <c r="K272" s="72"/>
      <c r="L272" s="77"/>
      <c r="M272" s="77"/>
      <c r="N272" s="72"/>
      <c r="O272" s="72"/>
      <c r="P272" s="72"/>
      <c r="Q272" s="72"/>
      <c r="R272" s="77"/>
      <c r="S272" s="72"/>
      <c r="T272" s="72"/>
      <c r="U272" s="334"/>
      <c r="V272" s="72"/>
      <c r="W272" s="72"/>
      <c r="X272" s="72"/>
      <c r="Y272" s="72"/>
      <c r="Z272" s="72"/>
      <c r="AA272" s="54"/>
      <c r="AB272" s="355"/>
      <c r="AC272" s="355"/>
      <c r="AD272" s="355"/>
      <c r="AE272" s="355"/>
    </row>
    <row r="273" spans="1:31" s="216" customFormat="1" ht="11.25" customHeight="1">
      <c r="A273" s="613"/>
      <c r="B273" s="77"/>
      <c r="C273" s="77"/>
      <c r="K273" s="72"/>
      <c r="L273" s="77"/>
      <c r="M273" s="77"/>
      <c r="N273" s="72"/>
      <c r="O273" s="72"/>
      <c r="P273" s="72"/>
      <c r="Q273" s="72"/>
      <c r="R273" s="77"/>
      <c r="S273" s="72"/>
      <c r="T273" s="72"/>
      <c r="U273" s="334"/>
      <c r="V273" s="72"/>
      <c r="W273" s="72"/>
      <c r="X273" s="72"/>
      <c r="Y273" s="72"/>
      <c r="Z273" s="72"/>
      <c r="AA273" s="54"/>
      <c r="AB273" s="355"/>
      <c r="AC273" s="355"/>
      <c r="AD273" s="355"/>
      <c r="AE273" s="355"/>
    </row>
    <row r="274" spans="1:31" s="216" customFormat="1" ht="11.25" customHeight="1">
      <c r="A274" s="613"/>
      <c r="B274" s="77"/>
      <c r="C274" s="77"/>
      <c r="K274" s="72"/>
      <c r="L274" s="77"/>
      <c r="M274" s="77"/>
      <c r="N274" s="72"/>
      <c r="O274" s="72"/>
      <c r="P274" s="72"/>
      <c r="Q274" s="72"/>
      <c r="R274" s="77"/>
      <c r="S274" s="72"/>
      <c r="T274" s="72"/>
      <c r="U274" s="334"/>
      <c r="V274" s="72"/>
      <c r="W274" s="72"/>
      <c r="X274" s="72"/>
      <c r="Y274" s="72"/>
      <c r="Z274" s="72"/>
      <c r="AA274" s="54"/>
      <c r="AB274" s="355"/>
      <c r="AC274" s="355"/>
      <c r="AD274" s="355"/>
      <c r="AE274" s="355"/>
    </row>
    <row r="275" spans="1:31" s="216" customFormat="1" ht="11.25" customHeight="1">
      <c r="A275" s="613"/>
      <c r="B275" s="77"/>
      <c r="C275" s="77"/>
      <c r="K275" s="72"/>
      <c r="L275" s="77"/>
      <c r="M275" s="77"/>
      <c r="N275" s="72"/>
      <c r="O275" s="72"/>
      <c r="P275" s="72"/>
      <c r="Q275" s="72"/>
      <c r="R275" s="77"/>
      <c r="S275" s="72"/>
      <c r="T275" s="72"/>
      <c r="U275" s="334"/>
      <c r="V275" s="72"/>
      <c r="W275" s="72"/>
      <c r="X275" s="72"/>
      <c r="Y275" s="72"/>
      <c r="Z275" s="72"/>
      <c r="AA275" s="54"/>
      <c r="AB275" s="355"/>
      <c r="AC275" s="355"/>
      <c r="AD275" s="355"/>
      <c r="AE275" s="355"/>
    </row>
    <row r="276" spans="1:31" s="216" customFormat="1" ht="11.25" customHeight="1">
      <c r="A276" s="613"/>
      <c r="B276" s="77"/>
      <c r="C276" s="77"/>
      <c r="K276" s="72"/>
      <c r="L276" s="77"/>
      <c r="M276" s="77"/>
      <c r="N276" s="72"/>
      <c r="O276" s="72"/>
      <c r="P276" s="72"/>
      <c r="Q276" s="72"/>
      <c r="R276" s="77"/>
      <c r="S276" s="72"/>
      <c r="T276" s="72"/>
      <c r="U276" s="334"/>
      <c r="V276" s="72"/>
      <c r="W276" s="72"/>
      <c r="X276" s="72"/>
      <c r="Y276" s="72"/>
      <c r="Z276" s="72"/>
      <c r="AA276" s="54"/>
      <c r="AB276" s="355"/>
      <c r="AC276" s="355"/>
      <c r="AD276" s="355"/>
      <c r="AE276" s="355"/>
    </row>
    <row r="277" spans="1:31" s="216" customFormat="1" ht="11.25" customHeight="1">
      <c r="A277" s="613"/>
      <c r="B277" s="77"/>
      <c r="C277" s="77"/>
      <c r="K277" s="72"/>
      <c r="L277" s="77"/>
      <c r="M277" s="77"/>
      <c r="N277" s="72"/>
      <c r="O277" s="72"/>
      <c r="P277" s="72"/>
      <c r="Q277" s="72"/>
      <c r="R277" s="77"/>
      <c r="S277" s="72"/>
      <c r="T277" s="72"/>
      <c r="U277" s="334"/>
      <c r="V277" s="72"/>
      <c r="W277" s="72"/>
      <c r="X277" s="72"/>
      <c r="Y277" s="72"/>
      <c r="Z277" s="72"/>
      <c r="AA277" s="54"/>
      <c r="AB277" s="355"/>
      <c r="AC277" s="355"/>
      <c r="AD277" s="355"/>
      <c r="AE277" s="355"/>
    </row>
    <row r="278" spans="1:31" s="216" customFormat="1" ht="11.25" customHeight="1">
      <c r="A278" s="613"/>
      <c r="B278" s="77"/>
      <c r="C278" s="77"/>
      <c r="K278" s="72"/>
      <c r="L278" s="77"/>
      <c r="M278" s="77"/>
      <c r="N278" s="72"/>
      <c r="O278" s="72"/>
      <c r="P278" s="72"/>
      <c r="Q278" s="72"/>
      <c r="R278" s="77"/>
      <c r="S278" s="72"/>
      <c r="T278" s="72"/>
      <c r="U278" s="334"/>
      <c r="V278" s="72"/>
      <c r="W278" s="72"/>
      <c r="X278" s="72"/>
      <c r="Y278" s="72"/>
      <c r="Z278" s="72"/>
      <c r="AA278" s="54"/>
      <c r="AB278" s="355"/>
      <c r="AC278" s="355"/>
      <c r="AD278" s="355"/>
      <c r="AE278" s="355"/>
    </row>
    <row r="279" spans="1:31" s="216" customFormat="1" ht="11.25" customHeight="1">
      <c r="A279" s="613"/>
      <c r="B279" s="77"/>
      <c r="C279" s="77"/>
      <c r="K279" s="72"/>
      <c r="L279" s="77"/>
      <c r="M279" s="77"/>
      <c r="N279" s="72"/>
      <c r="O279" s="72"/>
      <c r="P279" s="72"/>
      <c r="Q279" s="72"/>
      <c r="R279" s="77"/>
      <c r="S279" s="72"/>
      <c r="T279" s="72"/>
      <c r="U279" s="334"/>
      <c r="V279" s="72"/>
      <c r="W279" s="72"/>
      <c r="X279" s="72"/>
      <c r="Y279" s="72"/>
      <c r="Z279" s="72"/>
      <c r="AA279" s="54"/>
      <c r="AB279" s="355"/>
      <c r="AC279" s="355"/>
      <c r="AD279" s="355"/>
      <c r="AE279" s="355"/>
    </row>
    <row r="280" spans="1:31" s="216" customFormat="1" ht="11.25" customHeight="1">
      <c r="A280" s="613"/>
      <c r="B280" s="77"/>
      <c r="C280" s="77"/>
      <c r="K280" s="72"/>
      <c r="L280" s="77"/>
      <c r="M280" s="77"/>
      <c r="N280" s="72"/>
      <c r="O280" s="72"/>
      <c r="P280" s="72"/>
      <c r="Q280" s="72"/>
      <c r="R280" s="77"/>
      <c r="S280" s="72"/>
      <c r="T280" s="72"/>
      <c r="U280" s="334"/>
      <c r="V280" s="72"/>
      <c r="W280" s="72"/>
      <c r="X280" s="72"/>
      <c r="Y280" s="72"/>
      <c r="Z280" s="72"/>
      <c r="AA280" s="54"/>
      <c r="AB280" s="355"/>
      <c r="AC280" s="355"/>
      <c r="AD280" s="355"/>
      <c r="AE280" s="355"/>
    </row>
    <row r="281" spans="1:31" s="216" customFormat="1" ht="11.25" customHeight="1">
      <c r="A281" s="613"/>
      <c r="B281" s="77"/>
      <c r="C281" s="77"/>
      <c r="K281" s="72"/>
      <c r="L281" s="77"/>
      <c r="M281" s="77"/>
      <c r="N281" s="72"/>
      <c r="O281" s="72"/>
      <c r="P281" s="72"/>
      <c r="Q281" s="72"/>
      <c r="R281" s="77"/>
      <c r="S281" s="72"/>
      <c r="T281" s="72"/>
      <c r="U281" s="334"/>
      <c r="V281" s="72"/>
      <c r="W281" s="72"/>
      <c r="X281" s="72"/>
      <c r="Y281" s="72"/>
      <c r="Z281" s="72"/>
      <c r="AA281" s="54"/>
      <c r="AB281" s="355"/>
      <c r="AC281" s="355"/>
      <c r="AD281" s="355"/>
      <c r="AE281" s="355"/>
    </row>
    <row r="282" spans="1:31" s="216" customFormat="1" ht="11.25" customHeight="1">
      <c r="A282" s="613"/>
      <c r="B282" s="77"/>
      <c r="C282" s="77"/>
      <c r="K282" s="72"/>
      <c r="L282" s="77"/>
      <c r="M282" s="77"/>
      <c r="N282" s="72"/>
      <c r="O282" s="72"/>
      <c r="P282" s="72"/>
      <c r="Q282" s="72"/>
      <c r="R282" s="77"/>
      <c r="S282" s="72"/>
      <c r="T282" s="72"/>
      <c r="U282" s="334"/>
      <c r="V282" s="72"/>
      <c r="W282" s="72"/>
      <c r="X282" s="72"/>
      <c r="Y282" s="72"/>
      <c r="Z282" s="72"/>
      <c r="AA282" s="54"/>
      <c r="AB282" s="355"/>
      <c r="AC282" s="355"/>
      <c r="AD282" s="355"/>
      <c r="AE282" s="355"/>
    </row>
    <row r="283" spans="1:31" s="216" customFormat="1" ht="11.25" customHeight="1">
      <c r="A283" s="613"/>
      <c r="B283" s="77"/>
      <c r="C283" s="77"/>
      <c r="K283" s="72"/>
      <c r="L283" s="77"/>
      <c r="M283" s="77"/>
      <c r="N283" s="72"/>
      <c r="O283" s="72"/>
      <c r="P283" s="72"/>
      <c r="Q283" s="72"/>
      <c r="R283" s="77"/>
      <c r="S283" s="72"/>
      <c r="T283" s="72"/>
      <c r="U283" s="334"/>
      <c r="V283" s="72"/>
      <c r="W283" s="72"/>
      <c r="X283" s="72"/>
      <c r="Y283" s="72"/>
      <c r="Z283" s="72"/>
      <c r="AA283" s="54"/>
      <c r="AB283" s="355"/>
      <c r="AC283" s="355"/>
      <c r="AD283" s="355"/>
      <c r="AE283" s="355"/>
    </row>
    <row r="284" spans="1:31" s="216" customFormat="1" ht="11.25" customHeight="1">
      <c r="A284" s="613"/>
      <c r="B284" s="77"/>
      <c r="C284" s="77"/>
      <c r="K284" s="72"/>
      <c r="L284" s="77"/>
      <c r="M284" s="77"/>
      <c r="N284" s="72"/>
      <c r="O284" s="72"/>
      <c r="P284" s="72"/>
      <c r="Q284" s="72"/>
      <c r="R284" s="77"/>
      <c r="S284" s="72"/>
      <c r="T284" s="72"/>
      <c r="U284" s="334"/>
      <c r="V284" s="72"/>
      <c r="W284" s="72"/>
      <c r="X284" s="72"/>
      <c r="Y284" s="72"/>
      <c r="Z284" s="72"/>
      <c r="AA284" s="54"/>
      <c r="AB284" s="355"/>
      <c r="AC284" s="355"/>
      <c r="AD284" s="355"/>
      <c r="AE284" s="355"/>
    </row>
    <row r="285" spans="1:31" s="216" customFormat="1" ht="11.25" customHeight="1">
      <c r="A285" s="613"/>
      <c r="B285" s="77"/>
      <c r="C285" s="77"/>
      <c r="K285" s="72"/>
      <c r="L285" s="77"/>
      <c r="M285" s="77"/>
      <c r="N285" s="72"/>
      <c r="O285" s="72"/>
      <c r="P285" s="72"/>
      <c r="Q285" s="72"/>
      <c r="R285" s="77"/>
      <c r="S285" s="72"/>
      <c r="T285" s="72"/>
      <c r="U285" s="334"/>
      <c r="V285" s="72"/>
      <c r="W285" s="72"/>
      <c r="X285" s="72"/>
      <c r="Y285" s="72"/>
      <c r="Z285" s="72"/>
      <c r="AA285" s="54"/>
      <c r="AB285" s="355"/>
      <c r="AC285" s="355"/>
      <c r="AD285" s="355"/>
      <c r="AE285" s="355"/>
    </row>
    <row r="286" spans="1:31" s="216" customFormat="1" ht="11.25" customHeight="1">
      <c r="A286" s="613"/>
      <c r="B286" s="77"/>
      <c r="C286" s="77"/>
      <c r="K286" s="72"/>
      <c r="L286" s="77"/>
      <c r="M286" s="77"/>
      <c r="N286" s="72"/>
      <c r="O286" s="72"/>
      <c r="P286" s="72"/>
      <c r="Q286" s="72"/>
      <c r="R286" s="77"/>
      <c r="S286" s="72"/>
      <c r="T286" s="72"/>
      <c r="U286" s="334"/>
      <c r="V286" s="72"/>
      <c r="W286" s="72"/>
      <c r="X286" s="72"/>
      <c r="Y286" s="72"/>
      <c r="Z286" s="72"/>
      <c r="AA286" s="54"/>
      <c r="AB286" s="355"/>
      <c r="AC286" s="355"/>
      <c r="AD286" s="355"/>
      <c r="AE286" s="355"/>
    </row>
    <row r="287" spans="1:31" s="216" customFormat="1" ht="11.25" customHeight="1">
      <c r="A287" s="613"/>
      <c r="B287" s="77"/>
      <c r="C287" s="77"/>
      <c r="K287" s="72"/>
      <c r="L287" s="77"/>
      <c r="M287" s="77"/>
      <c r="N287" s="72"/>
      <c r="O287" s="72"/>
      <c r="P287" s="72"/>
      <c r="Q287" s="72"/>
      <c r="R287" s="77"/>
      <c r="S287" s="72"/>
      <c r="T287" s="72"/>
      <c r="U287" s="334"/>
      <c r="V287" s="72"/>
      <c r="W287" s="72"/>
      <c r="X287" s="72"/>
      <c r="Y287" s="72"/>
      <c r="Z287" s="72"/>
      <c r="AA287" s="54"/>
      <c r="AB287" s="355"/>
      <c r="AC287" s="355"/>
      <c r="AD287" s="355"/>
      <c r="AE287" s="355"/>
    </row>
    <row r="288" spans="1:31" s="216" customFormat="1" ht="11.25" customHeight="1">
      <c r="A288" s="613"/>
      <c r="B288" s="77"/>
      <c r="C288" s="77"/>
      <c r="K288" s="72"/>
      <c r="L288" s="77"/>
      <c r="M288" s="77"/>
      <c r="N288" s="72"/>
      <c r="O288" s="72"/>
      <c r="P288" s="72"/>
      <c r="Q288" s="72"/>
      <c r="R288" s="77"/>
      <c r="S288" s="72"/>
      <c r="T288" s="72"/>
      <c r="U288" s="334"/>
      <c r="V288" s="72"/>
      <c r="W288" s="72"/>
      <c r="X288" s="72"/>
      <c r="Y288" s="72"/>
      <c r="Z288" s="72"/>
      <c r="AA288" s="54"/>
      <c r="AB288" s="355"/>
      <c r="AC288" s="355"/>
      <c r="AD288" s="355"/>
      <c r="AE288" s="355"/>
    </row>
    <row r="292" spans="1:31" ht="11.25" customHeight="1">
      <c r="A292" s="616"/>
      <c r="B292" s="24"/>
      <c r="K292" s="24"/>
      <c r="N292" s="24"/>
      <c r="O292" s="24"/>
      <c r="P292" s="24"/>
      <c r="Q292" s="24"/>
      <c r="S292" s="24"/>
      <c r="T292" s="24"/>
      <c r="U292" s="24"/>
      <c r="V292" s="24"/>
      <c r="W292" s="24"/>
      <c r="X292" s="24"/>
      <c r="Y292" s="24"/>
      <c r="Z292" s="24"/>
      <c r="AA292" s="24"/>
      <c r="AB292" s="24"/>
      <c r="AC292" s="24"/>
      <c r="AD292" s="24"/>
      <c r="AE292" s="24"/>
    </row>
    <row r="293" spans="1:31" ht="11.25" customHeight="1">
      <c r="A293" s="616"/>
      <c r="B293" s="24"/>
      <c r="K293" s="24"/>
      <c r="N293" s="24"/>
      <c r="O293" s="24"/>
      <c r="P293" s="24"/>
      <c r="Q293" s="24"/>
      <c r="S293" s="24"/>
      <c r="T293" s="24"/>
      <c r="U293" s="24"/>
      <c r="V293" s="24"/>
      <c r="W293" s="24"/>
      <c r="X293" s="24"/>
      <c r="Y293" s="24"/>
      <c r="Z293" s="24"/>
      <c r="AA293" s="24"/>
      <c r="AB293" s="24"/>
      <c r="AC293" s="24"/>
      <c r="AD293" s="24"/>
      <c r="AE293" s="24"/>
    </row>
    <row r="294" spans="1:31" ht="11.25" customHeight="1">
      <c r="A294" s="616"/>
      <c r="B294" s="24"/>
      <c r="K294" s="24"/>
      <c r="N294" s="24"/>
      <c r="O294" s="24"/>
      <c r="P294" s="24"/>
      <c r="Q294" s="24"/>
      <c r="S294" s="24"/>
      <c r="T294" s="24"/>
      <c r="U294" s="24"/>
      <c r="V294" s="24"/>
      <c r="W294" s="24"/>
      <c r="X294" s="24"/>
      <c r="Y294" s="24"/>
      <c r="Z294" s="24"/>
      <c r="AA294" s="24"/>
      <c r="AB294" s="24"/>
      <c r="AC294" s="24"/>
      <c r="AD294" s="24"/>
      <c r="AE294" s="24"/>
    </row>
    <row r="295" spans="1:31" ht="11.25" customHeight="1">
      <c r="A295" s="616"/>
      <c r="B295" s="24"/>
      <c r="K295" s="24"/>
      <c r="N295" s="24"/>
      <c r="O295" s="24"/>
      <c r="P295" s="24"/>
      <c r="Q295" s="24"/>
      <c r="S295" s="24"/>
      <c r="T295" s="24"/>
      <c r="U295" s="24"/>
      <c r="V295" s="24"/>
      <c r="W295" s="24"/>
      <c r="X295" s="24"/>
      <c r="Y295" s="24"/>
      <c r="Z295" s="24"/>
      <c r="AA295" s="24"/>
      <c r="AB295" s="24"/>
      <c r="AC295" s="24"/>
      <c r="AD295" s="24"/>
      <c r="AE295" s="24"/>
    </row>
    <row r="296" spans="1:31" ht="11.25" customHeight="1">
      <c r="A296" s="616"/>
      <c r="B296" s="24"/>
      <c r="K296" s="24"/>
      <c r="N296" s="24"/>
      <c r="O296" s="24"/>
      <c r="P296" s="24"/>
      <c r="Q296" s="24"/>
      <c r="S296" s="24"/>
      <c r="T296" s="24"/>
      <c r="U296" s="24"/>
      <c r="V296" s="24"/>
      <c r="W296" s="24"/>
      <c r="X296" s="24"/>
      <c r="Y296" s="24"/>
      <c r="Z296" s="24"/>
      <c r="AA296" s="24"/>
      <c r="AB296" s="24"/>
      <c r="AC296" s="24"/>
      <c r="AD296" s="24"/>
      <c r="AE296" s="24"/>
    </row>
    <row r="297" spans="1:31" ht="11.25" customHeight="1">
      <c r="A297" s="616"/>
      <c r="B297" s="24"/>
      <c r="K297" s="24"/>
      <c r="N297" s="24"/>
      <c r="O297" s="24"/>
      <c r="P297" s="24"/>
      <c r="Q297" s="24"/>
      <c r="S297" s="24"/>
      <c r="T297" s="24"/>
      <c r="U297" s="24"/>
      <c r="V297" s="24"/>
      <c r="W297" s="24"/>
      <c r="X297" s="24"/>
      <c r="Y297" s="24"/>
      <c r="Z297" s="24"/>
      <c r="AA297" s="24"/>
      <c r="AB297" s="24"/>
      <c r="AC297" s="24"/>
      <c r="AD297" s="24"/>
      <c r="AE297" s="24"/>
    </row>
    <row r="298" spans="1:31" ht="11.25" customHeight="1">
      <c r="A298" s="616"/>
      <c r="B298" s="24"/>
      <c r="K298" s="24"/>
      <c r="N298" s="24"/>
      <c r="O298" s="24"/>
      <c r="P298" s="24"/>
      <c r="Q298" s="24"/>
      <c r="S298" s="24"/>
      <c r="T298" s="24"/>
      <c r="U298" s="24"/>
      <c r="V298" s="24"/>
      <c r="W298" s="24"/>
      <c r="X298" s="24"/>
      <c r="Y298" s="24"/>
      <c r="Z298" s="24"/>
      <c r="AA298" s="24"/>
      <c r="AB298" s="24"/>
      <c r="AC298" s="24"/>
      <c r="AD298" s="24"/>
      <c r="AE298" s="24"/>
    </row>
    <row r="299" spans="1:31" ht="11.25" customHeight="1">
      <c r="A299" s="616"/>
      <c r="B299" s="24"/>
      <c r="K299" s="24"/>
      <c r="N299" s="24"/>
      <c r="O299" s="24"/>
      <c r="P299" s="24"/>
      <c r="Q299" s="24"/>
      <c r="S299" s="24"/>
      <c r="T299" s="24"/>
      <c r="U299" s="24"/>
      <c r="V299" s="24"/>
      <c r="W299" s="24"/>
      <c r="X299" s="24"/>
      <c r="Y299" s="24"/>
      <c r="Z299" s="24"/>
      <c r="AA299" s="24"/>
      <c r="AB299" s="24"/>
      <c r="AC299" s="24"/>
      <c r="AD299" s="24"/>
      <c r="AE299" s="24"/>
    </row>
    <row r="300" spans="1:31" ht="11.25" customHeight="1">
      <c r="A300" s="616"/>
      <c r="B300" s="24"/>
      <c r="K300" s="24"/>
      <c r="N300" s="24"/>
      <c r="O300" s="24"/>
      <c r="P300" s="24"/>
      <c r="Q300" s="24"/>
      <c r="S300" s="24"/>
      <c r="T300" s="24"/>
      <c r="U300" s="24"/>
      <c r="V300" s="24"/>
      <c r="W300" s="24"/>
      <c r="X300" s="24"/>
      <c r="Y300" s="24"/>
      <c r="Z300" s="24"/>
      <c r="AA300" s="24"/>
      <c r="AB300" s="24"/>
      <c r="AC300" s="24"/>
      <c r="AD300" s="24"/>
      <c r="AE300" s="24"/>
    </row>
    <row r="301" spans="1:31" ht="11.25" customHeight="1">
      <c r="A301" s="616"/>
      <c r="B301" s="24"/>
      <c r="K301" s="24"/>
      <c r="N301" s="24"/>
      <c r="O301" s="24"/>
      <c r="P301" s="24"/>
      <c r="Q301" s="24"/>
      <c r="S301" s="24"/>
      <c r="T301" s="24"/>
      <c r="U301" s="24"/>
      <c r="V301" s="24"/>
      <c r="W301" s="24"/>
      <c r="X301" s="24"/>
      <c r="Y301" s="24"/>
      <c r="Z301" s="24"/>
      <c r="AA301" s="24"/>
      <c r="AB301" s="24"/>
      <c r="AC301" s="24"/>
      <c r="AD301" s="24"/>
      <c r="AE301" s="24"/>
    </row>
    <row r="302" spans="1:31" ht="11.25" customHeight="1">
      <c r="A302" s="616"/>
      <c r="B302" s="24"/>
      <c r="K302" s="24"/>
      <c r="N302" s="24"/>
      <c r="O302" s="24"/>
      <c r="P302" s="24"/>
      <c r="Q302" s="24"/>
      <c r="S302" s="24"/>
      <c r="T302" s="24"/>
      <c r="U302" s="24"/>
      <c r="V302" s="24"/>
      <c r="W302" s="24"/>
      <c r="X302" s="24"/>
      <c r="Y302" s="24"/>
      <c r="Z302" s="24"/>
      <c r="AA302" s="24"/>
      <c r="AB302" s="24"/>
      <c r="AC302" s="24"/>
      <c r="AD302" s="24"/>
      <c r="AE302" s="24"/>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xr:uid="{00000000-0002-0000-2700-000000000000}"/>
    <dataValidation type="decimal" allowBlank="1" showErrorMessage="1" errorTitle="Ошибка" error="Введите значение от 0 до 100%" sqref="H90:I90 H95:I95" xr:uid="{00000000-0002-0000-2700-000001000000}">
      <formula1>0</formula1>
      <formula2>100</formula2>
    </dataValidation>
    <dataValidation type="decimal" allowBlank="1" showErrorMessage="1" errorTitle="Ошибка" error="Допускается ввод только действительных чисел!" sqref="H123:I123 H120:I120 H126:I126 H75:I80" xr:uid="{00000000-0002-0000-2700-000002000000}">
      <formula1>-9.99999999999999E+37</formula1>
      <formula2>9.99999999999999E+37</formula2>
    </dataValidation>
    <dataValidation type="decimal" allowBlank="1" showErrorMessage="1" errorTitle="Ошибка" error="Допускается ввод только действительных чисел!" sqref="H72:I73" xr:uid="{00000000-0002-0000-2700-000003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xr:uid="{00000000-0002-0000-2700-000004000000}">
      <formula1>900</formula1>
    </dataValidation>
    <dataValidation type="list" allowBlank="1" showInputMessage="1" showErrorMessage="1" errorTitle="Ошибка" error="Выберите значение из списка" prompt="Выберите значение из списка" sqref="G93" xr:uid="{00000000-0002-0000-2700-000005000000}">
      <formula1>kind_of_volume_te_unit</formula1>
    </dataValidation>
    <dataValidation type="list" allowBlank="1" showInputMessage="1" showErrorMessage="1" errorTitle="Ошибка" error="Выберите значение из списка" prompt="Выберите значение из списка" sqref="F2" xr:uid="{00000000-0002-0000-2700-000006000000}">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700-000007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700-000008000000}">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xr:uid="{00000000-0002-0000-2700-000009000000}">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700-00000A000000}">
      <formula1>900</formula1>
    </dataValidation>
    <dataValidation type="list" allowBlank="1" showInputMessage="1" showErrorMessage="1" errorTitle="Ошибка" error="Выберите значение из списка" prompt="Выберите значение из списка" sqref="H7:I7" xr:uid="{00000000-0002-0000-2700-00000B000000}">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A3DD87-714C-1E91-D1AA-7F8DD175D7B2}">
  <sheetPr>
    <tabColor theme="9" tint="-0.249977111117893"/>
  </sheetPr>
  <dimension ref="A1:CE27"/>
  <sheetViews>
    <sheetView showGridLines="0" topLeftCell="C4" zoomScale="90" workbookViewId="0"/>
  </sheetViews>
  <sheetFormatPr defaultColWidth="9.140625" defaultRowHeight="11.25" customHeight="1"/>
  <cols>
    <col min="1" max="1" width="14.7109375" style="382" hidden="1" customWidth="1"/>
    <col min="2" max="2" width="17" style="54" hidden="1" customWidth="1"/>
    <col min="3" max="3" width="3.7109375" style="24" customWidth="1"/>
    <col min="4" max="4" width="1.85546875" style="24" hidden="1" customWidth="1"/>
    <col min="5" max="6" width="7.7109375" style="24" customWidth="1"/>
    <col min="7" max="7" width="29.7109375" style="24" customWidth="1"/>
    <col min="8" max="8" width="3.7109375" style="24" customWidth="1"/>
    <col min="9" max="9" width="5.42578125" style="24" customWidth="1"/>
    <col min="10" max="10" width="24.5703125" style="24" customWidth="1"/>
    <col min="11" max="11" width="24.42578125" style="24" customWidth="1"/>
    <col min="12" max="12" width="3.7109375" style="24" customWidth="1"/>
    <col min="13" max="13" width="6.28515625" style="24" customWidth="1"/>
    <col min="14" max="14" width="25.85546875" style="24" customWidth="1"/>
    <col min="15" max="18" width="18.7109375" style="24" customWidth="1"/>
    <col min="19" max="19" width="93.42578125" style="24" customWidth="1"/>
    <col min="20" max="20" width="10.5703125" style="24" customWidth="1"/>
    <col min="21" max="21" width="10.5703125" style="77" customWidth="1"/>
    <col min="22" max="22" width="11.7109375" style="77" customWidth="1"/>
    <col min="23" max="27" width="10.5703125" style="54" customWidth="1"/>
    <col min="28" max="83" width="9.140625" style="24"/>
  </cols>
  <sheetData>
    <row r="1" spans="1:83" ht="11.25" hidden="1" customHeight="1"/>
    <row r="2" spans="1:83" ht="11.25" hidden="1" customHeight="1"/>
    <row r="3" spans="1:83" ht="11.25" hidden="1" customHeight="1"/>
    <row r="4" spans="1:83" ht="3" customHeight="1">
      <c r="K4" s="87"/>
      <c r="L4" s="87"/>
      <c r="M4" s="87"/>
    </row>
    <row r="5" spans="1:83" ht="33.75" customHeight="1">
      <c r="D5" s="244"/>
      <c r="E5" s="1415" t="str">
        <f>FHD20_NAME_FORM</f>
        <v>Форма 11. Информация о расходах на капитальный и текущий ремонт основных средств</v>
      </c>
      <c r="F5" s="1415"/>
      <c r="G5" s="1415"/>
      <c r="H5" s="1415"/>
      <c r="I5" s="1415"/>
      <c r="J5" s="1415"/>
      <c r="K5" s="1415"/>
      <c r="L5" s="68"/>
      <c r="M5" s="68"/>
    </row>
    <row r="6" spans="1:83" s="24" customFormat="1" ht="16.5" customHeight="1">
      <c r="A6" s="382"/>
      <c r="B6" s="54"/>
      <c r="D6" s="665"/>
      <c r="E6" s="1215" t="str">
        <f>IF(org=0,"Не определено",org)</f>
        <v>ООО "ТЕПЛО ПЛЮС"</v>
      </c>
      <c r="F6" s="1215"/>
      <c r="G6" s="1215"/>
      <c r="H6" s="1215"/>
      <c r="I6" s="1215"/>
      <c r="J6" s="1215"/>
      <c r="K6" s="1215"/>
      <c r="L6" s="68"/>
      <c r="M6" s="68"/>
      <c r="U6" s="77"/>
      <c r="V6" s="77"/>
      <c r="W6" s="54"/>
      <c r="X6" s="54"/>
      <c r="Y6" s="54"/>
      <c r="Z6" s="54"/>
      <c r="AA6" s="54"/>
    </row>
    <row r="7" spans="1:83" ht="11.25" customHeight="1">
      <c r="G7" s="68"/>
      <c r="H7" s="68"/>
      <c r="I7" s="68"/>
      <c r="J7" s="68"/>
      <c r="K7" s="4"/>
      <c r="L7" s="4"/>
      <c r="M7" s="4"/>
      <c r="R7" s="463"/>
    </row>
    <row r="8" spans="1:83" s="216" customFormat="1" ht="5.25" customHeight="1">
      <c r="A8" s="384"/>
      <c r="B8" s="355"/>
      <c r="G8" s="601"/>
      <c r="H8" s="601"/>
      <c r="I8" s="601"/>
      <c r="J8" s="601"/>
      <c r="K8" s="638"/>
      <c r="L8" s="638"/>
      <c r="M8" s="638"/>
      <c r="R8" s="639"/>
      <c r="U8" s="77"/>
      <c r="V8" s="77"/>
      <c r="W8" s="355"/>
      <c r="X8" s="355"/>
      <c r="Y8" s="355"/>
      <c r="Z8" s="355"/>
      <c r="AA8" s="355"/>
    </row>
    <row r="9" spans="1:83" ht="18.75" customHeight="1">
      <c r="D9" s="76"/>
      <c r="E9" s="1105" t="s">
        <v>292</v>
      </c>
      <c r="F9" s="1110"/>
      <c r="G9" s="1110"/>
      <c r="H9" s="1110"/>
      <c r="I9" s="1110"/>
      <c r="J9" s="1110"/>
      <c r="K9" s="1110"/>
      <c r="L9" s="1110"/>
      <c r="M9" s="1110"/>
      <c r="N9" s="1110"/>
      <c r="O9" s="1110"/>
      <c r="P9" s="1110"/>
      <c r="Q9" s="1110"/>
      <c r="R9" s="1104"/>
      <c r="S9" s="1123" t="s">
        <v>293</v>
      </c>
      <c r="T9" s="208"/>
    </row>
    <row r="10" spans="1:83" ht="33.75" customHeight="1">
      <c r="D10" s="341" t="s">
        <v>88</v>
      </c>
      <c r="E10" s="1123" t="s">
        <v>88</v>
      </c>
      <c r="F10" s="1123"/>
      <c r="G10" s="50" t="s">
        <v>294</v>
      </c>
      <c r="H10" s="1123" t="s">
        <v>88</v>
      </c>
      <c r="I10" s="1123"/>
      <c r="J10" s="50" t="s">
        <v>1764</v>
      </c>
      <c r="K10" s="50" t="s">
        <v>1765</v>
      </c>
      <c r="L10" s="1123" t="s">
        <v>88</v>
      </c>
      <c r="M10" s="1123"/>
      <c r="N10" s="50" t="s">
        <v>1766</v>
      </c>
      <c r="O10" s="50" t="s">
        <v>1767</v>
      </c>
      <c r="P10" s="50" t="s">
        <v>1768</v>
      </c>
      <c r="Q10" s="50" t="s">
        <v>1769</v>
      </c>
      <c r="R10" s="50" t="s">
        <v>1770</v>
      </c>
      <c r="S10" s="1123"/>
      <c r="T10" s="208"/>
    </row>
    <row r="11" spans="1:83" s="77" customFormat="1" ht="15" hidden="1" customHeight="1">
      <c r="A11" s="338"/>
      <c r="D11" s="338" t="s">
        <v>109</v>
      </c>
      <c r="E11" s="338"/>
      <c r="F11" s="338" t="s">
        <v>110</v>
      </c>
      <c r="G11" s="338" t="s">
        <v>90</v>
      </c>
      <c r="H11" s="338"/>
      <c r="I11" s="338" t="s">
        <v>91</v>
      </c>
      <c r="J11" s="338" t="s">
        <v>111</v>
      </c>
      <c r="K11" s="338" t="s">
        <v>92</v>
      </c>
      <c r="L11" s="338"/>
      <c r="M11" s="338" t="s">
        <v>93</v>
      </c>
      <c r="N11" s="338" t="s">
        <v>112</v>
      </c>
      <c r="O11" s="338" t="s">
        <v>149</v>
      </c>
      <c r="P11" s="338" t="s">
        <v>150</v>
      </c>
      <c r="Q11" s="338" t="s">
        <v>151</v>
      </c>
      <c r="R11" s="338" t="s">
        <v>152</v>
      </c>
      <c r="S11" s="338" t="s">
        <v>153</v>
      </c>
    </row>
    <row r="12" spans="1:83" s="24" customFormat="1" ht="0.75" customHeight="1">
      <c r="A12" s="382"/>
      <c r="B12" s="54"/>
      <c r="D12" s="338"/>
      <c r="E12" s="214"/>
      <c r="F12" s="214"/>
      <c r="Q12" s="88"/>
      <c r="R12" s="383"/>
      <c r="T12" s="208"/>
      <c r="U12" s="77"/>
      <c r="V12" s="77"/>
      <c r="W12" s="54"/>
      <c r="X12" s="54"/>
      <c r="Y12" s="54"/>
      <c r="Z12" s="54"/>
      <c r="AA12" s="54"/>
    </row>
    <row r="13" spans="1:83" s="216" customFormat="1" ht="0.75" customHeight="1">
      <c r="A13" s="384"/>
      <c r="B13" s="355"/>
      <c r="D13" s="338" t="s">
        <v>370</v>
      </c>
      <c r="E13" s="349"/>
      <c r="F13" s="349"/>
      <c r="G13" s="349"/>
      <c r="H13" s="349"/>
      <c r="I13" s="349"/>
      <c r="J13" s="349"/>
      <c r="K13" s="349"/>
      <c r="L13" s="349"/>
      <c r="M13" s="349"/>
      <c r="N13" s="349"/>
      <c r="O13" s="349"/>
      <c r="P13" s="349"/>
      <c r="Q13" s="349"/>
      <c r="R13" s="349"/>
      <c r="T13" s="208"/>
      <c r="U13" s="77"/>
      <c r="V13" s="77"/>
      <c r="W13" s="355"/>
      <c r="X13" s="355"/>
      <c r="Y13" s="355"/>
      <c r="Z13" s="355"/>
      <c r="AA13" s="355"/>
    </row>
    <row r="14" spans="1:83" ht="15" hidden="1" customHeight="1">
      <c r="A14" s="40" t="s">
        <v>117</v>
      </c>
      <c r="B14"/>
      <c r="C14"/>
      <c r="D14" s="1447" t="s">
        <v>109</v>
      </c>
      <c r="E14" s="1268" t="s">
        <v>105</v>
      </c>
      <c r="F14" s="1269"/>
      <c r="G14" s="1270"/>
      <c r="H14" s="1271" t="str">
        <f>IF(A14="","",INDEX(DIFFERENTIATION_UNMERGE_VD,MATCH(A14,DIFFERENTIATION_ID_DIFF,0)))</f>
        <v>Производство тепловой энергии. Некомбинированная выработка</v>
      </c>
      <c r="I14" s="1271"/>
      <c r="J14" s="1271"/>
      <c r="K14" s="1271"/>
      <c r="L14" s="1271"/>
      <c r="M14" s="1271"/>
      <c r="N14" s="1271"/>
      <c r="O14" s="1271"/>
      <c r="P14" s="1271"/>
      <c r="Q14" s="1271"/>
      <c r="R14" s="1271"/>
      <c r="S14" s="442"/>
      <c r="T14" s="440"/>
      <c r="U14" s="111"/>
      <c r="V14" s="111"/>
      <c r="W14" s="71"/>
      <c r="X14" s="71"/>
      <c r="Y14" s="71"/>
      <c r="Z14" s="71"/>
      <c r="AA14" s="111"/>
      <c r="AB14" s="71"/>
      <c r="AC14" s="1280"/>
      <c r="AD14" s="71"/>
      <c r="AE14" s="385" t="s">
        <v>17</v>
      </c>
      <c r="AF14" s="385"/>
      <c r="AG14" s="386" t="s">
        <v>1420</v>
      </c>
      <c r="AH14" s="387">
        <v>3</v>
      </c>
      <c r="AI14" s="111"/>
      <c r="AJ14" s="111"/>
      <c r="AK14" s="111"/>
      <c r="AL14" s="111"/>
      <c r="AM14" s="111"/>
      <c r="AN14" s="111"/>
      <c r="AO14" s="111"/>
      <c r="AP14" s="111"/>
      <c r="AQ14" s="111"/>
      <c r="AR14" s="111"/>
      <c r="AS14" s="111"/>
      <c r="AT14" s="111"/>
      <c r="AU14" s="111"/>
      <c r="AV14" s="111"/>
      <c r="AW14" s="111"/>
      <c r="AX14" s="111"/>
      <c r="AY14" s="111"/>
      <c r="AZ14" s="111"/>
      <c r="BA14" s="111"/>
      <c r="BB14" s="111"/>
      <c r="BC14" s="111"/>
      <c r="BD14" s="111"/>
      <c r="BE14" s="111"/>
      <c r="BF14" s="111"/>
      <c r="BG14" s="111"/>
      <c r="BH14" s="111"/>
      <c r="BI14" s="111"/>
      <c r="BJ14" s="111"/>
      <c r="BK14" s="111"/>
      <c r="BL14" s="111"/>
      <c r="BM14" s="111"/>
      <c r="BN14" s="111"/>
      <c r="BO14" s="111"/>
      <c r="BP14" s="111"/>
      <c r="BQ14" s="111"/>
      <c r="BR14" s="111"/>
      <c r="BS14" s="111"/>
      <c r="BT14" s="111"/>
      <c r="BU14" s="111"/>
      <c r="BV14" s="71"/>
      <c r="BW14" s="71"/>
      <c r="BX14" s="71"/>
      <c r="BY14" s="71"/>
      <c r="BZ14" s="71"/>
      <c r="CA14" s="71"/>
      <c r="CB14" s="71"/>
      <c r="CC14" s="71"/>
      <c r="CD14" s="71"/>
      <c r="CE14" s="71"/>
    </row>
    <row r="15" spans="1:83" ht="15" hidden="1" customHeight="1">
      <c r="A15" s="40"/>
      <c r="B15"/>
      <c r="C15"/>
      <c r="D15" s="1448"/>
      <c r="E15" s="1268" t="s">
        <v>1421</v>
      </c>
      <c r="F15" s="1269"/>
      <c r="G15" s="1270"/>
      <c r="H15" s="1271" t="str">
        <f>IF(A14="","",INDEX(DIFFERENTIATION_UNMERGE_AREA,MATCH(A14,DIFFERENTIATION_ID_DIFF,0)))</f>
        <v>без дифференциации</v>
      </c>
      <c r="I15" s="1271"/>
      <c r="J15" s="1271"/>
      <c r="K15" s="1271"/>
      <c r="L15" s="1271"/>
      <c r="M15" s="1271"/>
      <c r="N15" s="1271"/>
      <c r="O15" s="1271"/>
      <c r="P15" s="1271"/>
      <c r="Q15" s="1271"/>
      <c r="R15" s="1271"/>
      <c r="S15" s="442"/>
      <c r="T15" s="440"/>
      <c r="U15" s="111"/>
      <c r="V15" s="111"/>
      <c r="W15" s="71"/>
      <c r="X15" s="71"/>
      <c r="Y15" s="71"/>
      <c r="Z15" s="71"/>
      <c r="AA15" s="111"/>
      <c r="AB15" s="71"/>
      <c r="AC15" s="1280"/>
      <c r="AD15" s="71"/>
      <c r="AE15" s="385"/>
      <c r="AF15" s="385"/>
      <c r="AG15" s="386"/>
      <c r="AH15" s="387"/>
      <c r="AI15" s="111"/>
      <c r="AJ15" s="111"/>
      <c r="AK15" s="111"/>
      <c r="AL15" s="111"/>
      <c r="AM15" s="111"/>
      <c r="AN15" s="111"/>
      <c r="AO15" s="111"/>
      <c r="AP15" s="111"/>
      <c r="AQ15" s="111"/>
      <c r="AR15" s="111"/>
      <c r="AS15" s="111"/>
      <c r="AT15" s="111"/>
      <c r="AU15" s="111"/>
      <c r="AV15" s="111"/>
      <c r="AW15" s="111"/>
      <c r="AX15" s="111"/>
      <c r="AY15" s="111"/>
      <c r="AZ15" s="111"/>
      <c r="BA15" s="111"/>
      <c r="BB15" s="111"/>
      <c r="BC15" s="111"/>
      <c r="BD15" s="111"/>
      <c r="BE15" s="111"/>
      <c r="BF15" s="111"/>
      <c r="BG15" s="111"/>
      <c r="BH15" s="111"/>
      <c r="BI15" s="111"/>
      <c r="BJ15" s="111"/>
      <c r="BK15" s="111"/>
      <c r="BL15" s="111"/>
      <c r="BM15" s="111"/>
      <c r="BN15" s="111"/>
      <c r="BO15" s="111"/>
      <c r="BP15" s="111"/>
      <c r="BQ15" s="111"/>
      <c r="BR15" s="111"/>
      <c r="BS15" s="111"/>
      <c r="BT15" s="111"/>
      <c r="BU15" s="111"/>
      <c r="BV15" s="71"/>
      <c r="BW15" s="71"/>
      <c r="BX15" s="71"/>
      <c r="BY15" s="71"/>
      <c r="BZ15" s="71"/>
      <c r="CA15" s="71"/>
      <c r="CB15" s="71"/>
      <c r="CC15" s="71"/>
      <c r="CD15" s="71"/>
      <c r="CE15" s="71"/>
    </row>
    <row r="16" spans="1:83" ht="15" hidden="1" customHeight="1">
      <c r="A16" s="40"/>
      <c r="B16"/>
      <c r="C16"/>
      <c r="D16" s="1448"/>
      <c r="E16" s="1268" t="s">
        <v>1422</v>
      </c>
      <c r="F16" s="1269"/>
      <c r="G16" s="1270"/>
      <c r="H16" s="1271" t="str">
        <f>IF(A14="","",INDEX(DIFFERENTIATION_UNMERGE_SYSTEM,MATCH(A14,DIFFERENTIATION_ID_DIFF,0)))</f>
        <v>без дифференциации</v>
      </c>
      <c r="I16" s="1271"/>
      <c r="J16" s="1271"/>
      <c r="K16" s="1271"/>
      <c r="L16" s="1271"/>
      <c r="M16" s="1271"/>
      <c r="N16" s="1271"/>
      <c r="O16" s="1271"/>
      <c r="P16" s="1271"/>
      <c r="Q16" s="1271"/>
      <c r="R16" s="1271"/>
      <c r="S16" s="442"/>
      <c r="T16" s="440"/>
      <c r="U16" s="111"/>
      <c r="V16" s="111"/>
      <c r="W16" s="71"/>
      <c r="X16" s="71"/>
      <c r="Y16" s="71"/>
      <c r="Z16" s="71"/>
      <c r="AA16" s="111"/>
      <c r="AB16" s="71"/>
      <c r="AC16" s="1280"/>
      <c r="AD16" s="71"/>
      <c r="AE16" s="385"/>
      <c r="AF16" s="385"/>
      <c r="AG16" s="386"/>
      <c r="AH16" s="387"/>
      <c r="AI16" s="111"/>
      <c r="AJ16" s="111"/>
      <c r="AK16" s="111"/>
      <c r="AL16" s="111"/>
      <c r="AM16" s="111"/>
      <c r="AN16" s="111"/>
      <c r="AO16" s="111"/>
      <c r="AP16" s="111"/>
      <c r="AQ16" s="111"/>
      <c r="AR16" s="111"/>
      <c r="AS16" s="111"/>
      <c r="AT16" s="111"/>
      <c r="AU16" s="111"/>
      <c r="AV16" s="111"/>
      <c r="AW16" s="111"/>
      <c r="AX16" s="111"/>
      <c r="AY16" s="111"/>
      <c r="AZ16" s="111"/>
      <c r="BA16" s="111"/>
      <c r="BB16" s="111"/>
      <c r="BC16" s="111"/>
      <c r="BD16" s="111"/>
      <c r="BE16" s="111"/>
      <c r="BF16" s="111"/>
      <c r="BG16" s="111"/>
      <c r="BH16" s="111"/>
      <c r="BI16" s="111"/>
      <c r="BJ16" s="111"/>
      <c r="BK16" s="111"/>
      <c r="BL16" s="111"/>
      <c r="BM16" s="111"/>
      <c r="BN16" s="111"/>
      <c r="BO16" s="111"/>
      <c r="BP16" s="111"/>
      <c r="BQ16" s="111"/>
      <c r="BR16" s="111"/>
      <c r="BS16" s="111"/>
      <c r="BT16" s="111"/>
      <c r="BU16" s="111"/>
      <c r="BV16" s="71"/>
      <c r="BW16" s="71"/>
      <c r="BX16" s="71"/>
      <c r="BY16" s="71"/>
      <c r="BZ16" s="71"/>
      <c r="CA16" s="71"/>
      <c r="CB16" s="71"/>
      <c r="CC16" s="71"/>
      <c r="CD16" s="71"/>
      <c r="CE16" s="71"/>
    </row>
    <row r="17" spans="1:83" ht="22.5" hidden="1" customHeight="1">
      <c r="A17" s="388"/>
      <c r="B17" s="72"/>
      <c r="C17" s="257"/>
      <c r="D17" s="1448"/>
      <c r="E17" s="1286" t="s">
        <v>1423</v>
      </c>
      <c r="F17" s="1286"/>
      <c r="G17" s="1286"/>
      <c r="H17" s="1286"/>
      <c r="I17" s="1286"/>
      <c r="J17" s="1286"/>
      <c r="K17" s="1286"/>
      <c r="L17" s="1286"/>
      <c r="M17" s="1286"/>
      <c r="N17" s="1286"/>
      <c r="O17" s="1286"/>
      <c r="P17" s="1286"/>
      <c r="Q17" s="347">
        <f>SUMIF(T18:T19,"i",Q18:Q19)</f>
        <v>0</v>
      </c>
      <c r="R17" s="637"/>
      <c r="S17" s="157" t="s">
        <v>1424</v>
      </c>
      <c r="T17" s="440" t="s">
        <v>1425</v>
      </c>
      <c r="U17" s="1259">
        <v>1</v>
      </c>
      <c r="V17" s="1259" t="str">
        <f>INDEX(B_FHD_FLAG_INDEX_1,1,MATCH(A14,B_FHD_FLAG_DIFFERENTIATION,0))</f>
        <v>отсутствует</v>
      </c>
      <c r="W17" s="72"/>
      <c r="X17" s="72"/>
      <c r="Y17" s="72"/>
      <c r="Z17" s="72"/>
      <c r="AA17" s="77"/>
      <c r="AB17" s="72"/>
      <c r="AC17" s="1280"/>
      <c r="AD17" s="71"/>
      <c r="AE17" s="72"/>
      <c r="AF17" s="72"/>
      <c r="AG17" s="77"/>
      <c r="AH17" s="77"/>
      <c r="AI17" s="77"/>
      <c r="AJ17" s="77"/>
      <c r="AK17" s="77"/>
      <c r="AL17" s="77"/>
      <c r="AM17" s="77"/>
      <c r="AN17" s="77"/>
      <c r="AO17" s="77"/>
      <c r="AP17" s="77"/>
      <c r="AQ17" s="77"/>
      <c r="AR17" s="77"/>
      <c r="AS17" s="77"/>
      <c r="AT17" s="77"/>
      <c r="AU17" s="77"/>
      <c r="AV17" s="77"/>
      <c r="AW17" s="77"/>
      <c r="AX17" s="77"/>
      <c r="AY17" s="77"/>
      <c r="AZ17" s="77"/>
      <c r="BA17" s="77"/>
      <c r="BB17" s="77"/>
      <c r="BC17" s="77"/>
      <c r="BD17" s="77"/>
      <c r="BE17" s="77"/>
      <c r="BF17" s="77"/>
      <c r="BG17" s="77"/>
      <c r="BH17" s="77"/>
      <c r="BI17" s="77"/>
      <c r="BJ17" s="77"/>
      <c r="BK17" s="77"/>
      <c r="BL17" s="77"/>
      <c r="BM17" s="77"/>
      <c r="BN17" s="77"/>
      <c r="BO17" s="77"/>
      <c r="BP17" s="77"/>
      <c r="BQ17" s="77"/>
      <c r="BR17" s="77"/>
      <c r="BS17" s="77"/>
      <c r="BT17" s="77"/>
      <c r="BU17" s="77"/>
      <c r="BV17" s="72"/>
      <c r="BW17" s="72"/>
      <c r="BX17" s="72"/>
      <c r="BY17" s="72"/>
      <c r="BZ17" s="72"/>
      <c r="CA17" s="72"/>
      <c r="CB17" s="72"/>
      <c r="CC17" s="72"/>
      <c r="CD17" s="72"/>
      <c r="CE17" s="72"/>
    </row>
    <row r="18" spans="1:83" ht="11.25" hidden="1" customHeight="1">
      <c r="A18" s="127"/>
      <c r="B18" s="77"/>
      <c r="C18" s="77"/>
      <c r="D18" s="1448"/>
      <c r="E18" s="389"/>
      <c r="F18" s="389">
        <v>0</v>
      </c>
      <c r="G18" s="389"/>
      <c r="H18" s="389"/>
      <c r="I18" s="389"/>
      <c r="J18" s="389"/>
      <c r="K18" s="389"/>
      <c r="L18" s="389"/>
      <c r="M18" s="389"/>
      <c r="N18" s="389"/>
      <c r="O18" s="389"/>
      <c r="P18" s="389"/>
      <c r="Q18" s="389"/>
      <c r="R18" s="389"/>
      <c r="S18" s="342"/>
      <c r="T18" s="441"/>
      <c r="U18" s="1259"/>
      <c r="V18" s="1259"/>
      <c r="W18" s="77"/>
      <c r="X18" s="77"/>
      <c r="Y18" s="77"/>
      <c r="Z18" s="77"/>
      <c r="AA18" s="77"/>
      <c r="AB18" s="72"/>
      <c r="AC18" s="1280"/>
      <c r="AD18" s="71"/>
      <c r="AE18" s="72"/>
      <c r="AF18" s="72"/>
      <c r="AG18" s="77"/>
      <c r="AH18" s="77"/>
      <c r="AI18" s="77"/>
      <c r="AJ18" s="77"/>
      <c r="AK18" s="77"/>
      <c r="AL18" s="77"/>
      <c r="AM18" s="77"/>
      <c r="AN18" s="77"/>
      <c r="AO18" s="77"/>
      <c r="AP18" s="77"/>
      <c r="AQ18" s="77"/>
      <c r="AR18" s="77"/>
      <c r="AS18" s="77"/>
      <c r="AT18" s="77"/>
      <c r="AU18" s="77"/>
      <c r="AV18" s="77"/>
      <c r="AW18" s="77"/>
      <c r="AX18" s="77"/>
      <c r="AY18" s="77"/>
      <c r="AZ18" s="77"/>
      <c r="BA18" s="77"/>
      <c r="BB18" s="77"/>
      <c r="BC18" s="77"/>
      <c r="BD18" s="77"/>
      <c r="BE18" s="77"/>
      <c r="BF18" s="77"/>
      <c r="BG18" s="77"/>
      <c r="BH18" s="77"/>
      <c r="BI18" s="77"/>
      <c r="BJ18" s="77"/>
      <c r="BK18" s="77"/>
      <c r="BL18" s="77"/>
      <c r="BM18" s="77"/>
      <c r="BN18" s="77"/>
      <c r="BO18" s="77"/>
      <c r="BP18" s="77"/>
      <c r="BQ18" s="77"/>
      <c r="BR18" s="77"/>
      <c r="BS18" s="77"/>
      <c r="BT18" s="77"/>
      <c r="BU18" s="77"/>
      <c r="BV18" s="77"/>
      <c r="BW18" s="77"/>
      <c r="BX18" s="77"/>
      <c r="BY18" s="77"/>
      <c r="BZ18" s="77"/>
      <c r="CA18" s="77"/>
      <c r="CB18" s="77"/>
      <c r="CC18" s="77"/>
      <c r="CD18" s="77"/>
      <c r="CE18" s="77"/>
    </row>
    <row r="19" spans="1:83" ht="11.25" hidden="1" customHeight="1">
      <c r="A19" s="388"/>
      <c r="B19" s="72"/>
      <c r="C19" s="257"/>
      <c r="D19" s="1448"/>
      <c r="E19" s="195" t="s">
        <v>17</v>
      </c>
      <c r="F19" s="116" t="s">
        <v>17</v>
      </c>
      <c r="G19" s="116" t="s">
        <v>17</v>
      </c>
      <c r="H19" s="62" t="s">
        <v>17</v>
      </c>
      <c r="I19" s="62"/>
      <c r="J19" s="62"/>
      <c r="K19" s="62"/>
      <c r="L19" s="62"/>
      <c r="M19" s="62"/>
      <c r="N19" s="62"/>
      <c r="O19" s="62"/>
      <c r="P19" s="62"/>
      <c r="Q19" s="62"/>
      <c r="R19" s="379"/>
      <c r="S19" s="239"/>
      <c r="T19" s="441"/>
      <c r="U19" s="1259"/>
      <c r="V19" s="1259"/>
      <c r="W19" s="72"/>
      <c r="X19" s="72"/>
      <c r="Y19" s="72"/>
      <c r="Z19" s="72"/>
      <c r="AA19" s="77"/>
      <c r="AB19" s="72"/>
      <c r="AC19" s="1280"/>
      <c r="AD19" s="71"/>
      <c r="AE19" s="72"/>
      <c r="AF19" s="72"/>
      <c r="AG19" s="77"/>
      <c r="AH19" s="77"/>
      <c r="AI19" s="77"/>
      <c r="AJ19" s="77"/>
      <c r="AK19" s="77"/>
      <c r="AL19" s="77"/>
      <c r="AM19" s="77"/>
      <c r="AN19" s="77"/>
      <c r="AO19" s="77"/>
      <c r="AP19" s="77"/>
      <c r="AQ19" s="77"/>
      <c r="AR19" s="77"/>
      <c r="AS19" s="77"/>
      <c r="AT19" s="77"/>
      <c r="AU19" s="77"/>
      <c r="AV19" s="77"/>
      <c r="AW19" s="77"/>
      <c r="AX19" s="77"/>
      <c r="AY19" s="77"/>
      <c r="AZ19" s="77"/>
      <c r="BA19" s="77"/>
      <c r="BB19" s="77"/>
      <c r="BC19" s="77"/>
      <c r="BD19" s="77"/>
      <c r="BE19" s="77"/>
      <c r="BF19" s="77"/>
      <c r="BG19" s="77"/>
      <c r="BH19" s="77"/>
      <c r="BI19" s="77"/>
      <c r="BJ19" s="77"/>
      <c r="BK19" s="77"/>
      <c r="BL19" s="77"/>
      <c r="BM19" s="77"/>
      <c r="BN19" s="77"/>
      <c r="BO19" s="77"/>
      <c r="BP19" s="77"/>
      <c r="BQ19" s="77"/>
      <c r="BR19" s="77"/>
      <c r="BS19" s="77"/>
      <c r="BT19" s="77"/>
      <c r="BU19" s="77"/>
      <c r="BV19" s="72"/>
      <c r="BW19" s="72"/>
      <c r="BX19" s="72"/>
      <c r="BY19" s="72"/>
      <c r="BZ19" s="72"/>
      <c r="CA19" s="72"/>
      <c r="CB19" s="72"/>
      <c r="CC19" s="72"/>
      <c r="CD19" s="72"/>
      <c r="CE19" s="72"/>
    </row>
    <row r="20" spans="1:83" ht="22.5" hidden="1" customHeight="1">
      <c r="A20" s="388"/>
      <c r="B20" s="72"/>
      <c r="C20" s="257"/>
      <c r="D20" s="1448"/>
      <c r="E20" s="1286" t="s">
        <v>1428</v>
      </c>
      <c r="F20" s="1286"/>
      <c r="G20" s="1286"/>
      <c r="H20" s="1286"/>
      <c r="I20" s="1286"/>
      <c r="J20" s="1286"/>
      <c r="K20" s="1286"/>
      <c r="L20" s="1286"/>
      <c r="M20" s="1286"/>
      <c r="N20" s="1286"/>
      <c r="O20" s="1286"/>
      <c r="P20" s="1286"/>
      <c r="Q20" s="347">
        <f>SUMIF(T21:T22,"i",Q21:Q22)</f>
        <v>0</v>
      </c>
      <c r="R20" s="637"/>
      <c r="S20" s="157" t="s">
        <v>1429</v>
      </c>
      <c r="T20" s="440" t="s">
        <v>1425</v>
      </c>
      <c r="U20" s="1259">
        <v>2</v>
      </c>
      <c r="V20" s="1259" t="str">
        <f>INDEX(B_FHD_FLAG_INDEX_2,1,MATCH(A14,B_FHD_FLAG_DIFFERENTIATION,0))</f>
        <v>отсутствует</v>
      </c>
      <c r="W20" s="72"/>
      <c r="X20" s="72"/>
      <c r="Y20" s="72"/>
      <c r="Z20" s="72"/>
      <c r="AA20" s="77"/>
      <c r="AB20" s="72"/>
      <c r="AC20" s="433"/>
      <c r="AD20" s="71"/>
      <c r="AE20" s="72"/>
      <c r="AF20" s="72"/>
      <c r="AG20" s="77"/>
      <c r="AH20" s="77"/>
      <c r="AI20" s="77"/>
      <c r="AJ20" s="77"/>
      <c r="AK20" s="77"/>
      <c r="AL20" s="77"/>
      <c r="AM20" s="77"/>
      <c r="AN20" s="77"/>
      <c r="AO20" s="77"/>
      <c r="AP20" s="77"/>
      <c r="AQ20" s="77"/>
      <c r="AR20" s="77"/>
      <c r="AS20" s="77"/>
      <c r="AT20" s="77"/>
      <c r="AU20" s="77"/>
      <c r="AV20" s="77"/>
      <c r="AW20" s="77"/>
      <c r="AX20" s="77"/>
      <c r="AY20" s="77"/>
      <c r="AZ20" s="77"/>
      <c r="BA20" s="77"/>
      <c r="BB20" s="77"/>
      <c r="BC20" s="77"/>
      <c r="BD20" s="77"/>
      <c r="BE20" s="77"/>
      <c r="BF20" s="77"/>
      <c r="BG20" s="77"/>
      <c r="BH20" s="77"/>
      <c r="BI20" s="77"/>
      <c r="BJ20" s="77"/>
      <c r="BK20" s="77"/>
      <c r="BL20" s="77"/>
      <c r="BM20" s="77"/>
      <c r="BN20" s="77"/>
      <c r="BO20" s="77"/>
      <c r="BP20" s="77"/>
      <c r="BQ20" s="77"/>
      <c r="BR20" s="77"/>
      <c r="BS20" s="77"/>
      <c r="BT20" s="77"/>
      <c r="BU20" s="77"/>
      <c r="BV20" s="72"/>
      <c r="BW20" s="72"/>
      <c r="BX20" s="72"/>
      <c r="BY20" s="72"/>
      <c r="BZ20" s="72"/>
      <c r="CA20" s="72"/>
      <c r="CB20" s="72"/>
      <c r="CC20" s="72"/>
      <c r="CD20" s="72"/>
      <c r="CE20" s="72"/>
    </row>
    <row r="21" spans="1:83" ht="11.25" hidden="1" customHeight="1">
      <c r="A21" s="127"/>
      <c r="B21" s="77"/>
      <c r="C21" s="77"/>
      <c r="D21" s="1448"/>
      <c r="E21" s="389"/>
      <c r="F21" s="389">
        <v>0</v>
      </c>
      <c r="G21" s="389"/>
      <c r="H21" s="389"/>
      <c r="I21" s="389"/>
      <c r="J21" s="389"/>
      <c r="K21" s="389"/>
      <c r="L21" s="389"/>
      <c r="M21" s="389"/>
      <c r="N21" s="389"/>
      <c r="O21" s="389"/>
      <c r="P21" s="389"/>
      <c r="Q21" s="389"/>
      <c r="R21" s="389"/>
      <c r="S21" s="342"/>
      <c r="T21" s="441"/>
      <c r="U21" s="1259"/>
      <c r="V21" s="1259"/>
      <c r="W21" s="77"/>
      <c r="X21" s="77"/>
      <c r="Y21" s="77"/>
      <c r="Z21" s="77"/>
      <c r="AA21" s="77"/>
      <c r="AB21" s="72"/>
      <c r="AC21" s="433"/>
      <c r="AD21" s="71"/>
      <c r="AE21" s="72"/>
      <c r="AF21" s="72"/>
      <c r="AG21" s="77"/>
      <c r="AH21" s="77"/>
      <c r="AI21" s="77"/>
      <c r="AJ21" s="77"/>
      <c r="AK21" s="77"/>
      <c r="AL21" s="77"/>
      <c r="AM21" s="77"/>
      <c r="AN21" s="77"/>
      <c r="AO21" s="77"/>
      <c r="AP21" s="77"/>
      <c r="AQ21" s="77"/>
      <c r="AR21" s="77"/>
      <c r="AS21" s="77"/>
      <c r="AT21" s="77"/>
      <c r="AU21" s="77"/>
      <c r="AV21" s="77"/>
      <c r="AW21" s="77"/>
      <c r="AX21" s="77"/>
      <c r="AY21" s="77"/>
      <c r="AZ21" s="77"/>
      <c r="BA21" s="77"/>
      <c r="BB21" s="77"/>
      <c r="BC21" s="77"/>
      <c r="BD21" s="77"/>
      <c r="BE21" s="77"/>
      <c r="BF21" s="77"/>
      <c r="BG21" s="77"/>
      <c r="BH21" s="77"/>
      <c r="BI21" s="77"/>
      <c r="BJ21" s="77"/>
      <c r="BK21" s="77"/>
      <c r="BL21" s="77"/>
      <c r="BM21" s="77"/>
      <c r="BN21" s="77"/>
      <c r="BO21" s="77"/>
      <c r="BP21" s="77"/>
      <c r="BQ21" s="77"/>
      <c r="BR21" s="77"/>
      <c r="BS21" s="77"/>
      <c r="BT21" s="77"/>
      <c r="BU21" s="77"/>
      <c r="BV21" s="77"/>
      <c r="BW21" s="77"/>
      <c r="BX21" s="77"/>
      <c r="BY21" s="77"/>
      <c r="BZ21" s="77"/>
      <c r="CA21" s="77"/>
      <c r="CB21" s="77"/>
      <c r="CC21" s="77"/>
      <c r="CD21" s="77"/>
      <c r="CE21" s="77"/>
    </row>
    <row r="22" spans="1:83" ht="11.25" hidden="1" customHeight="1">
      <c r="A22" s="388"/>
      <c r="B22" s="72"/>
      <c r="C22" s="257"/>
      <c r="D22" s="1449"/>
      <c r="E22" s="195" t="s">
        <v>17</v>
      </c>
      <c r="F22" s="116" t="s">
        <v>17</v>
      </c>
      <c r="G22" s="116" t="s">
        <v>17</v>
      </c>
      <c r="H22" s="62" t="s">
        <v>17</v>
      </c>
      <c r="I22" s="62"/>
      <c r="J22" s="62"/>
      <c r="K22" s="62"/>
      <c r="L22" s="62"/>
      <c r="M22" s="62"/>
      <c r="N22" s="62"/>
      <c r="O22" s="62"/>
      <c r="P22" s="62"/>
      <c r="Q22" s="62"/>
      <c r="R22" s="379"/>
      <c r="S22" s="239"/>
      <c r="T22" s="441"/>
      <c r="U22" s="1259"/>
      <c r="V22" s="1259"/>
      <c r="W22" s="72"/>
      <c r="X22" s="72"/>
      <c r="Y22" s="72"/>
      <c r="Z22" s="72"/>
      <c r="AA22" s="77"/>
      <c r="AB22" s="72"/>
      <c r="AC22" s="433"/>
      <c r="AD22" s="71"/>
      <c r="AE22" s="72"/>
      <c r="AF22" s="72"/>
      <c r="AG22" s="77"/>
      <c r="AH22" s="77"/>
      <c r="AI22" s="77"/>
      <c r="AJ22" s="77"/>
      <c r="AK22" s="77"/>
      <c r="AL22" s="77"/>
      <c r="AM22" s="77"/>
      <c r="AN22" s="77"/>
      <c r="AO22" s="77"/>
      <c r="AP22" s="77"/>
      <c r="AQ22" s="77"/>
      <c r="AR22" s="77"/>
      <c r="AS22" s="77"/>
      <c r="AT22" s="77"/>
      <c r="AU22" s="77"/>
      <c r="AV22" s="77"/>
      <c r="AW22" s="77"/>
      <c r="AX22" s="77"/>
      <c r="AY22" s="77"/>
      <c r="AZ22" s="77"/>
      <c r="BA22" s="77"/>
      <c r="BB22" s="77"/>
      <c r="BC22" s="77"/>
      <c r="BD22" s="77"/>
      <c r="BE22" s="77"/>
      <c r="BF22" s="77"/>
      <c r="BG22" s="77"/>
      <c r="BH22" s="77"/>
      <c r="BI22" s="77"/>
      <c r="BJ22" s="77"/>
      <c r="BK22" s="77"/>
      <c r="BL22" s="77"/>
      <c r="BM22" s="77"/>
      <c r="BN22" s="77"/>
      <c r="BO22" s="77"/>
      <c r="BP22" s="77"/>
      <c r="BQ22" s="77"/>
      <c r="BR22" s="77"/>
      <c r="BS22" s="77"/>
      <c r="BT22" s="77"/>
      <c r="BU22" s="77"/>
      <c r="BV22" s="72"/>
      <c r="BW22" s="72"/>
      <c r="BX22" s="72"/>
      <c r="BY22" s="72"/>
      <c r="BZ22" s="72"/>
      <c r="CA22" s="72"/>
      <c r="CB22" s="72"/>
      <c r="CC22" s="72"/>
      <c r="CD22" s="72"/>
      <c r="CE22" s="72"/>
    </row>
    <row r="23" spans="1:83" ht="18.75" customHeight="1">
      <c r="D23" s="659"/>
      <c r="E23" s="659"/>
      <c r="F23" s="659"/>
      <c r="G23" s="659"/>
      <c r="H23" s="659"/>
      <c r="I23" s="659"/>
      <c r="J23" s="659"/>
      <c r="K23" s="659"/>
      <c r="L23" s="659"/>
      <c r="M23" s="659"/>
      <c r="N23" s="659"/>
      <c r="O23" s="659"/>
      <c r="P23" s="659"/>
      <c r="Q23" s="659"/>
      <c r="R23" s="659"/>
      <c r="S23" s="659"/>
      <c r="T23" s="208"/>
    </row>
    <row r="25" spans="1:83" ht="11.25" customHeight="1">
      <c r="D25" s="87"/>
      <c r="E25" s="87"/>
      <c r="F25" s="87"/>
      <c r="G25" s="44"/>
    </row>
    <row r="27" spans="1:83" ht="11.25" customHeight="1">
      <c r="D27" s="398"/>
      <c r="E27" s="1450"/>
      <c r="F27" s="1450"/>
      <c r="G27" s="1450"/>
      <c r="H27" s="1450"/>
      <c r="I27" s="1450"/>
      <c r="J27" s="1450"/>
      <c r="K27" s="1450"/>
      <c r="L27" s="1450"/>
      <c r="M27" s="1450"/>
      <c r="N27" s="1450"/>
      <c r="O27" s="1450"/>
      <c r="P27" s="1450"/>
      <c r="Q27" s="1450"/>
      <c r="R27" s="1450"/>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99A73C-E03E-800B-8727-E17C64CE9469}">
  <sheetPr>
    <tabColor theme="9" tint="-0.249977111117893"/>
  </sheetPr>
  <dimension ref="A1:AE218"/>
  <sheetViews>
    <sheetView showGridLines="0" topLeftCell="D5" zoomScale="90" workbookViewId="0"/>
  </sheetViews>
  <sheetFormatPr defaultColWidth="9.140625" defaultRowHeight="11.25" customHeight="1"/>
  <cols>
    <col min="1" max="1" width="10.7109375" style="613" hidden="1" customWidth="1"/>
    <col min="2" max="2" width="16.85546875" style="72" hidden="1" customWidth="1"/>
    <col min="3" max="3" width="5.5703125" style="77" hidden="1" customWidth="1"/>
    <col min="4" max="4" width="3.7109375" style="24" customWidth="1"/>
    <col min="5" max="5" width="7.7109375" style="24" customWidth="1"/>
    <col min="6" max="6" width="56.140625" style="24" customWidth="1"/>
    <col min="7" max="7" width="10.42578125" style="24" customWidth="1"/>
    <col min="8" max="8" width="40.7109375" style="24" hidden="1" customWidth="1"/>
    <col min="9" max="9" width="40.7109375" style="24" customWidth="1"/>
    <col min="10" max="10" width="102.85546875" style="24" customWidth="1"/>
    <col min="11" max="11" width="9.7109375" style="72" customWidth="1"/>
    <col min="12" max="12" width="5.28515625" style="77" customWidth="1"/>
    <col min="13" max="13" width="3.7109375" style="77" customWidth="1"/>
    <col min="14" max="17" width="3.7109375" style="72" customWidth="1"/>
    <col min="18" max="18" width="10.5703125" style="77" customWidth="1"/>
    <col min="19" max="19" width="34.7109375" style="72" customWidth="1"/>
    <col min="20" max="20" width="9.42578125" style="72" customWidth="1"/>
    <col min="21" max="21" width="9.140625" style="334"/>
    <col min="22" max="26" width="9.140625" style="72"/>
    <col min="27" max="31" width="9.140625" style="54"/>
  </cols>
  <sheetData>
    <row r="1" spans="1:31" s="72" customFormat="1" ht="11.25" hidden="1" customHeight="1">
      <c r="A1" s="613"/>
      <c r="C1" s="77"/>
      <c r="H1" s="72">
        <v>4</v>
      </c>
      <c r="I1" s="72">
        <v>4</v>
      </c>
      <c r="L1" s="77"/>
      <c r="M1" s="77"/>
      <c r="R1" s="77"/>
    </row>
    <row r="2" spans="1:31" s="72" customFormat="1" ht="22.5" hidden="1" customHeight="1">
      <c r="A2" s="613"/>
      <c r="C2" s="77"/>
      <c r="D2" s="329"/>
      <c r="E2" s="50"/>
      <c r="F2" s="330"/>
      <c r="G2" s="50" t="s">
        <v>1723</v>
      </c>
      <c r="H2" s="331"/>
      <c r="I2" s="331"/>
      <c r="J2" s="332" t="s">
        <v>1771</v>
      </c>
      <c r="K2" s="333"/>
      <c r="L2" s="77"/>
      <c r="M2" s="77"/>
      <c r="R2" s="77"/>
      <c r="U2" s="334"/>
      <c r="AA2" s="54"/>
      <c r="AB2" s="54"/>
      <c r="AC2" s="54"/>
      <c r="AD2" s="54"/>
      <c r="AE2" s="54"/>
    </row>
    <row r="3" spans="1:31" ht="11.25" hidden="1" customHeight="1"/>
    <row r="4" spans="1:31" s="54" customFormat="1" ht="11.25" hidden="1" customHeight="1">
      <c r="A4" s="613"/>
      <c r="B4" s="72"/>
      <c r="C4" s="77"/>
      <c r="J4" s="54">
        <v>4</v>
      </c>
      <c r="K4" s="72"/>
      <c r="L4" s="77"/>
      <c r="M4" s="77"/>
      <c r="N4" s="72"/>
      <c r="O4" s="72"/>
      <c r="P4" s="72"/>
      <c r="Q4" s="72"/>
      <c r="R4" s="77"/>
      <c r="S4" s="72"/>
      <c r="T4" s="72"/>
      <c r="U4" s="334"/>
      <c r="V4" s="72"/>
      <c r="W4" s="72"/>
      <c r="X4" s="72"/>
      <c r="Y4" s="72"/>
      <c r="Z4" s="72"/>
    </row>
    <row r="6" spans="1:31" ht="24" customHeight="1">
      <c r="E6" s="1116" t="s">
        <v>1772</v>
      </c>
      <c r="F6" s="1117"/>
      <c r="G6" s="1117"/>
      <c r="H6" s="1117"/>
      <c r="I6" s="1118"/>
      <c r="J6" s="69"/>
    </row>
    <row r="7" spans="1:31" ht="24" customHeight="1">
      <c r="E7" s="1228" t="str">
        <f>IF(org=0,"Не определено",org)</f>
        <v>ООО "ТЕПЛО ПЛЮС"</v>
      </c>
      <c r="F7" s="1229"/>
      <c r="G7" s="1229"/>
      <c r="H7" s="1229"/>
      <c r="I7" s="1230"/>
    </row>
    <row r="8" spans="1:31" ht="11.25" customHeight="1">
      <c r="E8" s="710"/>
      <c r="F8" s="710"/>
      <c r="G8" s="710"/>
      <c r="H8" s="710"/>
      <c r="I8" s="710"/>
    </row>
    <row r="9" spans="1:31" s="77" customFormat="1" ht="0.75" customHeight="1">
      <c r="A9" s="338"/>
      <c r="H9" s="552"/>
      <c r="I9" s="552" t="s">
        <v>117</v>
      </c>
    </row>
    <row r="10" spans="1:31" ht="11.25" customHeight="1">
      <c r="E10" s="435"/>
      <c r="F10" s="1411" t="s">
        <v>105</v>
      </c>
      <c r="G10" s="1412"/>
      <c r="H10" s="903" t="str">
        <f>IF(H9="","",INDEX(DIFFERENTIATION_UNMERGE_VD,MATCH(H9,DIFFERENTIATION_ID_DIFF,0)))</f>
        <v/>
      </c>
      <c r="I10" s="903" t="str">
        <f>IF(I9="","",INDEX(DIFFERENTIATION_UNMERGE_VD,MATCH(I9,DIFFERENTIATION_ID_DIFF,0)))</f>
        <v>Производство тепловой энергии. Некомбинированная выработка</v>
      </c>
      <c r="J10" s="1123"/>
    </row>
    <row r="11" spans="1:31" ht="11.25" customHeight="1">
      <c r="E11" s="435"/>
      <c r="F11" s="1411" t="s">
        <v>1421</v>
      </c>
      <c r="G11" s="1412"/>
      <c r="H11" s="903" t="str">
        <f>IF(H9="","",INDEX(DIFFERENTIATION_UNMERGE_AREA,MATCH(H9,DIFFERENTIATION_ID_DIFF,0)))</f>
        <v/>
      </c>
      <c r="I11" s="903" t="str">
        <f>IF(I9="","",INDEX(DIFFERENTIATION_UNMERGE_AREA,MATCH(I9,DIFFERENTIATION_ID_DIFF,0)))</f>
        <v>без дифференциации</v>
      </c>
      <c r="J11" s="1123"/>
    </row>
    <row r="12" spans="1:31" ht="11.25" hidden="1" customHeight="1">
      <c r="E12" s="942"/>
      <c r="F12" s="1451" t="s">
        <v>1422</v>
      </c>
      <c r="G12" s="1452"/>
      <c r="H12" s="943" t="str">
        <f>IF(H9="","",INDEX(DIFFERENTIATION_UNMERGE_SYSTEM,MATCH(H9,DIFFERENTIATION_ID_DIFF,0)))</f>
        <v/>
      </c>
      <c r="I12" s="943" t="str">
        <f>IF(I9="","",INDEX(DIFFERENTIATION_UNMERGE_SYSTEM,MATCH(I9,DIFFERENTIATION_ID_DIFF,0)))</f>
        <v>без дифференциации</v>
      </c>
      <c r="J12" s="1123"/>
    </row>
    <row r="13" spans="1:31" ht="11.25" customHeight="1">
      <c r="E13" s="1413" t="s">
        <v>292</v>
      </c>
      <c r="F13" s="1414"/>
      <c r="G13" s="1414"/>
      <c r="H13" s="550"/>
      <c r="I13" s="550"/>
      <c r="J13" s="1123"/>
    </row>
    <row r="14" spans="1:31" ht="22.5" customHeight="1">
      <c r="E14" s="50" t="s">
        <v>88</v>
      </c>
      <c r="F14" s="50" t="s">
        <v>294</v>
      </c>
      <c r="G14" s="50" t="s">
        <v>1600</v>
      </c>
      <c r="H14" s="50" t="s">
        <v>295</v>
      </c>
      <c r="I14" s="50" t="s">
        <v>295</v>
      </c>
      <c r="J14" s="1123"/>
    </row>
    <row r="15" spans="1:31" ht="18.75" customHeight="1">
      <c r="D15" s="214"/>
      <c r="E15" s="940" t="s">
        <v>109</v>
      </c>
      <c r="F15" s="157" t="s">
        <v>1773</v>
      </c>
      <c r="G15" s="50" t="s">
        <v>1723</v>
      </c>
      <c r="H15" s="346"/>
      <c r="I15" s="346"/>
      <c r="J15" s="76" t="s">
        <v>1774</v>
      </c>
      <c r="K15" s="333" t="s">
        <v>1775</v>
      </c>
    </row>
    <row r="16" spans="1:31" ht="33.75" customHeight="1">
      <c r="D16" s="214"/>
      <c r="E16" s="940" t="s">
        <v>110</v>
      </c>
      <c r="F16" s="157" t="s">
        <v>1776</v>
      </c>
      <c r="G16" s="50" t="s">
        <v>1723</v>
      </c>
      <c r="H16" s="347">
        <f>SUM(H17,H20:H32)</f>
        <v>0</v>
      </c>
      <c r="I16" s="347">
        <f>SUM(I17,I20:I32)</f>
        <v>0</v>
      </c>
      <c r="J16" s="76" t="s">
        <v>1777</v>
      </c>
      <c r="K16" s="333" t="s">
        <v>1775</v>
      </c>
    </row>
    <row r="17" spans="1:31" ht="18.75" customHeight="1">
      <c r="D17" s="214"/>
      <c r="E17" s="944" t="s">
        <v>505</v>
      </c>
      <c r="F17" s="348" t="s">
        <v>1778</v>
      </c>
      <c r="G17" s="422" t="s">
        <v>1723</v>
      </c>
      <c r="H17" s="346"/>
      <c r="I17" s="346"/>
      <c r="J17" s="76" t="s">
        <v>1779</v>
      </c>
      <c r="K17" s="333"/>
    </row>
    <row r="18" spans="1:31" ht="22.5" customHeight="1">
      <c r="D18" s="214"/>
      <c r="E18" s="944" t="s">
        <v>1458</v>
      </c>
      <c r="F18" s="364" t="s">
        <v>1780</v>
      </c>
      <c r="G18" s="422" t="s">
        <v>1723</v>
      </c>
      <c r="H18" s="346"/>
      <c r="I18" s="346"/>
      <c r="J18" s="76" t="s">
        <v>1781</v>
      </c>
      <c r="K18" s="333"/>
    </row>
    <row r="19" spans="1:31" ht="33.75" customHeight="1">
      <c r="D19" s="214"/>
      <c r="E19" s="944" t="s">
        <v>1782</v>
      </c>
      <c r="F19" s="364" t="s">
        <v>1783</v>
      </c>
      <c r="G19" s="422" t="s">
        <v>1723</v>
      </c>
      <c r="H19" s="346"/>
      <c r="I19" s="346"/>
      <c r="J19" s="76"/>
      <c r="K19" s="333"/>
    </row>
    <row r="20" spans="1:31" ht="18.75" customHeight="1">
      <c r="D20" s="214"/>
      <c r="E20" s="944" t="s">
        <v>299</v>
      </c>
      <c r="F20" s="348" t="s">
        <v>1784</v>
      </c>
      <c r="G20" s="422" t="s">
        <v>1723</v>
      </c>
      <c r="H20" s="346"/>
      <c r="I20" s="346"/>
      <c r="J20" s="76" t="s">
        <v>1785</v>
      </c>
      <c r="K20" s="333"/>
    </row>
    <row r="21" spans="1:31" ht="18.75" customHeight="1">
      <c r="D21" s="214"/>
      <c r="E21" s="944" t="s">
        <v>520</v>
      </c>
      <c r="F21" s="364" t="s">
        <v>1786</v>
      </c>
      <c r="G21" s="422" t="s">
        <v>1723</v>
      </c>
      <c r="H21" s="346"/>
      <c r="I21" s="346"/>
      <c r="J21" s="76"/>
      <c r="K21" s="333"/>
    </row>
    <row r="22" spans="1:31" ht="18.75" customHeight="1">
      <c r="D22" s="214"/>
      <c r="E22" s="944" t="s">
        <v>525</v>
      </c>
      <c r="F22" s="364" t="s">
        <v>1787</v>
      </c>
      <c r="G22" s="422" t="s">
        <v>1723</v>
      </c>
      <c r="H22" s="346"/>
      <c r="I22" s="346"/>
      <c r="J22" s="76"/>
      <c r="K22" s="333"/>
    </row>
    <row r="23" spans="1:31" ht="22.5" customHeight="1">
      <c r="D23" s="214"/>
      <c r="E23" s="944" t="s">
        <v>302</v>
      </c>
      <c r="F23" s="348" t="s">
        <v>1788</v>
      </c>
      <c r="G23" s="422" t="s">
        <v>1723</v>
      </c>
      <c r="H23" s="346"/>
      <c r="I23" s="346"/>
      <c r="J23" s="76" t="s">
        <v>1789</v>
      </c>
      <c r="K23" s="333"/>
    </row>
    <row r="24" spans="1:31" ht="18.75" customHeight="1">
      <c r="D24" s="214"/>
      <c r="E24" s="944" t="s">
        <v>519</v>
      </c>
      <c r="F24" s="364" t="s">
        <v>1790</v>
      </c>
      <c r="G24" s="422" t="s">
        <v>1723</v>
      </c>
      <c r="H24" s="346"/>
      <c r="I24" s="346"/>
      <c r="J24" s="76"/>
      <c r="K24" s="333"/>
    </row>
    <row r="25" spans="1:31" ht="33.75" customHeight="1">
      <c r="D25" s="214"/>
      <c r="E25" s="944" t="s">
        <v>524</v>
      </c>
      <c r="F25" s="364" t="s">
        <v>1791</v>
      </c>
      <c r="G25" s="422" t="s">
        <v>1723</v>
      </c>
      <c r="H25" s="346"/>
      <c r="I25" s="346"/>
      <c r="J25" s="76"/>
      <c r="K25" s="333"/>
    </row>
    <row r="26" spans="1:31" ht="22.5" customHeight="1">
      <c r="D26" s="214"/>
      <c r="E26" s="944" t="s">
        <v>514</v>
      </c>
      <c r="F26" s="348" t="s">
        <v>1792</v>
      </c>
      <c r="G26" s="422" t="s">
        <v>1723</v>
      </c>
      <c r="H26" s="346"/>
      <c r="I26" s="346"/>
      <c r="J26" s="76" t="s">
        <v>1793</v>
      </c>
      <c r="K26" s="333"/>
    </row>
    <row r="27" spans="1:31" ht="18.75" customHeight="1">
      <c r="D27" s="214"/>
      <c r="E27" s="946" t="s">
        <v>535</v>
      </c>
      <c r="F27" s="364" t="s">
        <v>1794</v>
      </c>
      <c r="G27" s="422" t="s">
        <v>1723</v>
      </c>
      <c r="H27" s="947"/>
      <c r="I27" s="947"/>
      <c r="J27" s="76"/>
      <c r="K27" s="333"/>
    </row>
    <row r="28" spans="1:31" ht="18.75" customHeight="1">
      <c r="D28" s="214"/>
      <c r="E28" s="946" t="s">
        <v>539</v>
      </c>
      <c r="F28" s="364" t="s">
        <v>1795</v>
      </c>
      <c r="G28" s="422" t="s">
        <v>1723</v>
      </c>
      <c r="H28" s="947"/>
      <c r="I28" s="947"/>
      <c r="J28" s="76"/>
      <c r="K28" s="333"/>
    </row>
    <row r="29" spans="1:31" ht="18.75" customHeight="1">
      <c r="D29" s="214"/>
      <c r="E29" s="946" t="s">
        <v>516</v>
      </c>
      <c r="F29" s="348" t="s">
        <v>1796</v>
      </c>
      <c r="G29" s="422" t="s">
        <v>1723</v>
      </c>
      <c r="H29" s="947"/>
      <c r="I29" s="947"/>
      <c r="J29" s="76"/>
      <c r="K29" s="333"/>
    </row>
    <row r="30" spans="1:31" ht="18.75" customHeight="1">
      <c r="D30" s="214"/>
      <c r="E30" s="946" t="s">
        <v>530</v>
      </c>
      <c r="F30" s="348" t="s">
        <v>1797</v>
      </c>
      <c r="G30" s="422" t="s">
        <v>1723</v>
      </c>
      <c r="H30" s="947"/>
      <c r="I30" s="947"/>
      <c r="J30" s="76"/>
      <c r="K30" s="333"/>
    </row>
    <row r="31" spans="1:31" ht="18.75" customHeight="1">
      <c r="D31" s="214"/>
      <c r="E31" s="946" t="s">
        <v>541</v>
      </c>
      <c r="F31" s="348" t="s">
        <v>1798</v>
      </c>
      <c r="G31" s="422" t="s">
        <v>1723</v>
      </c>
      <c r="H31" s="947"/>
      <c r="I31" s="947"/>
      <c r="J31" s="76"/>
      <c r="K31" s="333"/>
    </row>
    <row r="32" spans="1:31" s="72" customFormat="1" ht="22.5" customHeight="1">
      <c r="A32" s="613"/>
      <c r="C32" s="77"/>
      <c r="D32" s="214"/>
      <c r="E32" s="946" t="s">
        <v>552</v>
      </c>
      <c r="F32" s="348" t="s">
        <v>1799</v>
      </c>
      <c r="G32" s="366" t="s">
        <v>1723</v>
      </c>
      <c r="H32" s="367">
        <f>SUM(H33:H34)</f>
        <v>0</v>
      </c>
      <c r="I32" s="367">
        <f>SUM(I33:I34)</f>
        <v>0</v>
      </c>
      <c r="J32" s="76" t="s">
        <v>1800</v>
      </c>
      <c r="K32" s="333"/>
      <c r="L32" s="77"/>
      <c r="M32" s="77"/>
      <c r="R32" s="77"/>
      <c r="U32" s="334"/>
      <c r="AA32" s="54"/>
      <c r="AB32" s="54"/>
      <c r="AC32" s="54"/>
      <c r="AD32" s="54"/>
      <c r="AE32" s="54"/>
    </row>
    <row r="33" spans="1:31" s="77" customFormat="1" ht="0.75" customHeight="1">
      <c r="A33" s="338"/>
      <c r="D33" s="338"/>
      <c r="E33" s="341" t="str">
        <f>E32&amp;".0"</f>
        <v>2.8.0</v>
      </c>
      <c r="F33" s="617"/>
      <c r="G33" s="341"/>
      <c r="H33" s="618"/>
      <c r="I33" s="618"/>
      <c r="J33" s="619"/>
    </row>
    <row r="34" spans="1:31" s="72" customFormat="1" ht="18.75" customHeight="1">
      <c r="A34" s="613"/>
      <c r="C34" s="77"/>
      <c r="D34" s="86"/>
      <c r="E34" s="359"/>
      <c r="F34" s="945" t="s">
        <v>1741</v>
      </c>
      <c r="G34" s="360"/>
      <c r="H34" s="361"/>
      <c r="I34" s="361"/>
      <c r="J34" s="180" t="s">
        <v>1801</v>
      </c>
      <c r="K34" s="333"/>
      <c r="L34" s="77"/>
      <c r="M34" s="77"/>
      <c r="R34" s="77"/>
      <c r="U34" s="334"/>
      <c r="AA34" s="54"/>
      <c r="AB34" s="54"/>
      <c r="AC34" s="54"/>
      <c r="AD34" s="54"/>
      <c r="AE34" s="54"/>
    </row>
    <row r="35" spans="1:31" ht="56.25" customHeight="1">
      <c r="D35" s="214"/>
      <c r="E35" s="946" t="s">
        <v>560</v>
      </c>
      <c r="F35" s="348" t="s">
        <v>1802</v>
      </c>
      <c r="G35" s="422" t="s">
        <v>1723</v>
      </c>
      <c r="H35" s="947"/>
      <c r="I35" s="947"/>
      <c r="J35" s="76" t="s">
        <v>1803</v>
      </c>
      <c r="K35" s="333"/>
    </row>
    <row r="36" spans="1:31" s="72" customFormat="1" ht="22.5" customHeight="1">
      <c r="A36" s="615" t="s">
        <v>1742</v>
      </c>
      <c r="C36" s="77"/>
      <c r="D36" s="214"/>
      <c r="E36" s="944" t="s">
        <v>90</v>
      </c>
      <c r="F36" s="157" t="s">
        <v>1804</v>
      </c>
      <c r="G36" s="422" t="s">
        <v>1723</v>
      </c>
      <c r="H36" s="346"/>
      <c r="I36" s="346"/>
      <c r="J36" s="76" t="s">
        <v>612</v>
      </c>
      <c r="K36" s="333"/>
      <c r="L36" s="77"/>
      <c r="M36" s="77"/>
      <c r="R36" s="77"/>
      <c r="U36" s="334"/>
      <c r="AA36" s="54"/>
      <c r="AB36" s="54"/>
      <c r="AC36" s="54"/>
      <c r="AD36" s="54"/>
      <c r="AE36" s="54"/>
    </row>
    <row r="37" spans="1:31" s="72" customFormat="1" ht="22.5" customHeight="1">
      <c r="A37" s="615"/>
      <c r="C37" s="77"/>
      <c r="D37" s="214"/>
      <c r="E37" s="944" t="s">
        <v>318</v>
      </c>
      <c r="F37" s="348" t="s">
        <v>1805</v>
      </c>
      <c r="G37" s="422"/>
      <c r="H37" s="346"/>
      <c r="I37" s="346"/>
      <c r="J37" s="76"/>
      <c r="K37" s="333"/>
      <c r="L37" s="77"/>
      <c r="M37" s="77"/>
      <c r="R37" s="77"/>
      <c r="U37" s="334"/>
      <c r="AA37" s="54"/>
      <c r="AB37" s="54"/>
      <c r="AC37" s="54"/>
      <c r="AD37" s="54"/>
      <c r="AE37" s="54"/>
    </row>
    <row r="38" spans="1:31" s="72" customFormat="1" ht="18.75" customHeight="1">
      <c r="A38" s="613"/>
      <c r="C38" s="77"/>
      <c r="D38" s="363"/>
      <c r="E38" s="944" t="s">
        <v>91</v>
      </c>
      <c r="F38" s="157" t="s">
        <v>615</v>
      </c>
      <c r="G38" s="422" t="s">
        <v>1723</v>
      </c>
      <c r="H38" s="346"/>
      <c r="I38" s="346"/>
      <c r="J38" s="76" t="s">
        <v>616</v>
      </c>
      <c r="K38" s="333"/>
      <c r="L38" s="77"/>
      <c r="M38" s="77"/>
      <c r="R38" s="77"/>
      <c r="U38" s="334"/>
      <c r="AA38" s="54"/>
      <c r="AB38" s="54"/>
      <c r="AC38" s="54"/>
      <c r="AD38" s="54"/>
      <c r="AE38" s="54"/>
    </row>
    <row r="39" spans="1:31" s="72" customFormat="1" ht="22.5" customHeight="1">
      <c r="A39" s="613"/>
      <c r="C39" s="77"/>
      <c r="D39" s="363"/>
      <c r="E39" s="944" t="s">
        <v>613</v>
      </c>
      <c r="F39" s="348" t="s">
        <v>1806</v>
      </c>
      <c r="G39" s="422" t="s">
        <v>1723</v>
      </c>
      <c r="H39" s="346"/>
      <c r="I39" s="346"/>
      <c r="J39" s="76" t="s">
        <v>1807</v>
      </c>
      <c r="K39" s="333"/>
      <c r="L39" s="77"/>
      <c r="M39" s="77"/>
      <c r="R39" s="77"/>
      <c r="U39" s="334"/>
      <c r="AA39" s="54"/>
      <c r="AB39" s="54"/>
      <c r="AC39" s="54"/>
      <c r="AD39" s="54"/>
      <c r="AE39" s="54"/>
    </row>
    <row r="40" spans="1:31" s="72" customFormat="1" ht="22.5" customHeight="1">
      <c r="A40" s="613"/>
      <c r="C40" s="77"/>
      <c r="D40" s="214"/>
      <c r="E40" s="944" t="s">
        <v>622</v>
      </c>
      <c r="F40" s="364" t="s">
        <v>1808</v>
      </c>
      <c r="G40" s="422" t="s">
        <v>1723</v>
      </c>
      <c r="H40" s="346"/>
      <c r="I40" s="346"/>
      <c r="J40" s="76" t="s">
        <v>625</v>
      </c>
      <c r="K40" s="333"/>
      <c r="L40" s="77"/>
      <c r="M40" s="77"/>
      <c r="R40" s="77"/>
      <c r="U40" s="334"/>
      <c r="AA40" s="54"/>
      <c r="AB40" s="54"/>
      <c r="AC40" s="54"/>
      <c r="AD40" s="54"/>
      <c r="AE40" s="54"/>
    </row>
    <row r="41" spans="1:31" s="72" customFormat="1" ht="22.5" customHeight="1">
      <c r="A41" s="613"/>
      <c r="C41" s="77"/>
      <c r="D41" s="214"/>
      <c r="E41" s="944" t="s">
        <v>628</v>
      </c>
      <c r="F41" s="364" t="s">
        <v>1809</v>
      </c>
      <c r="G41" s="422" t="s">
        <v>1723</v>
      </c>
      <c r="H41" s="346"/>
      <c r="I41" s="346"/>
      <c r="J41" s="76" t="s">
        <v>631</v>
      </c>
      <c r="K41" s="333"/>
      <c r="L41" s="77"/>
      <c r="M41" s="77"/>
      <c r="R41" s="77"/>
      <c r="U41" s="334"/>
      <c r="AA41" s="54"/>
      <c r="AB41" s="54"/>
      <c r="AC41" s="54"/>
      <c r="AD41" s="54"/>
      <c r="AE41" s="54"/>
    </row>
    <row r="42" spans="1:31" s="72" customFormat="1" ht="22.5" customHeight="1">
      <c r="A42" s="613"/>
      <c r="C42" s="77"/>
      <c r="D42" s="214"/>
      <c r="E42" s="944" t="s">
        <v>1810</v>
      </c>
      <c r="F42" s="364" t="s">
        <v>1811</v>
      </c>
      <c r="G42" s="422" t="s">
        <v>1723</v>
      </c>
      <c r="H42" s="346"/>
      <c r="I42" s="346"/>
      <c r="J42" s="76" t="s">
        <v>1812</v>
      </c>
      <c r="K42" s="333"/>
      <c r="L42" s="77"/>
      <c r="M42" s="77"/>
      <c r="R42" s="77"/>
      <c r="U42" s="334"/>
      <c r="AA42" s="54"/>
      <c r="AB42" s="54"/>
      <c r="AC42" s="54"/>
      <c r="AD42" s="54"/>
      <c r="AE42" s="54"/>
    </row>
    <row r="43" spans="1:31" s="72" customFormat="1" ht="33.75" customHeight="1">
      <c r="A43" s="613"/>
      <c r="C43" s="77" t="s">
        <v>1750</v>
      </c>
      <c r="D43" s="214"/>
      <c r="E43" s="944" t="s">
        <v>111</v>
      </c>
      <c r="F43" s="157" t="s">
        <v>638</v>
      </c>
      <c r="G43" s="50" t="s">
        <v>1813</v>
      </c>
      <c r="H43" s="250"/>
      <c r="I43" s="250"/>
      <c r="J43" s="76" t="s">
        <v>1814</v>
      </c>
      <c r="K43" s="333"/>
      <c r="L43" s="77"/>
      <c r="M43" s="77"/>
      <c r="R43" s="77"/>
      <c r="U43" s="334"/>
      <c r="AA43" s="54"/>
      <c r="AB43" s="54"/>
      <c r="AC43" s="54"/>
      <c r="AD43" s="54"/>
      <c r="AE43" s="54"/>
    </row>
    <row r="44" spans="1:31" s="72" customFormat="1" ht="22.5" customHeight="1">
      <c r="A44" s="613"/>
      <c r="C44" s="77"/>
      <c r="D44" s="214"/>
      <c r="E44" s="944" t="s">
        <v>92</v>
      </c>
      <c r="F44" s="157" t="s">
        <v>1815</v>
      </c>
      <c r="G44" s="422" t="s">
        <v>1816</v>
      </c>
      <c r="H44" s="335"/>
      <c r="I44" s="335"/>
      <c r="J44" s="76" t="s">
        <v>1817</v>
      </c>
      <c r="K44" s="333"/>
      <c r="L44" s="77"/>
      <c r="M44" s="77"/>
      <c r="R44" s="77"/>
      <c r="U44" s="334"/>
      <c r="AA44" s="54"/>
      <c r="AB44" s="54"/>
      <c r="AC44" s="54"/>
      <c r="AD44" s="54"/>
      <c r="AE44" s="54"/>
    </row>
    <row r="45" spans="1:31" s="72" customFormat="1" ht="22.5" customHeight="1">
      <c r="A45" s="613"/>
      <c r="C45" s="77"/>
      <c r="D45" s="214"/>
      <c r="E45" s="944" t="s">
        <v>93</v>
      </c>
      <c r="F45" s="157" t="s">
        <v>1818</v>
      </c>
      <c r="G45" s="422" t="s">
        <v>1819</v>
      </c>
      <c r="H45" s="335"/>
      <c r="I45" s="335"/>
      <c r="J45" s="76" t="s">
        <v>1820</v>
      </c>
      <c r="K45" s="333"/>
      <c r="L45" s="77"/>
      <c r="M45" s="77"/>
      <c r="R45" s="77"/>
      <c r="U45" s="334"/>
      <c r="AA45" s="54"/>
      <c r="AB45" s="54"/>
      <c r="AC45" s="54"/>
      <c r="AD45" s="54"/>
      <c r="AE45" s="54"/>
    </row>
    <row r="46" spans="1:31" s="72" customFormat="1" ht="18.75" customHeight="1">
      <c r="A46" s="613"/>
      <c r="C46" s="77"/>
      <c r="D46" s="214"/>
      <c r="E46" s="944" t="s">
        <v>112</v>
      </c>
      <c r="F46" s="157" t="s">
        <v>1821</v>
      </c>
      <c r="G46" s="422" t="s">
        <v>1752</v>
      </c>
      <c r="H46" s="365"/>
      <c r="I46" s="365"/>
      <c r="J46" s="76"/>
      <c r="K46" s="333"/>
      <c r="L46" s="77"/>
      <c r="M46" s="77"/>
      <c r="R46" s="77"/>
      <c r="U46" s="334"/>
      <c r="AA46" s="54"/>
      <c r="AB46" s="54"/>
      <c r="AC46" s="54"/>
      <c r="AD46" s="54"/>
      <c r="AE46" s="54"/>
    </row>
    <row r="47" spans="1:31" ht="11.25" customHeight="1">
      <c r="D47" s="214"/>
    </row>
    <row r="48" spans="1:31" ht="26.25" customHeight="1">
      <c r="D48" s="214"/>
      <c r="E48" s="210"/>
      <c r="F48" s="1336"/>
      <c r="G48" s="1336"/>
      <c r="H48" s="1336"/>
      <c r="I48" s="1336"/>
      <c r="J48" s="1336"/>
    </row>
    <row r="49" spans="1:31" s="216" customFormat="1" ht="37.5" customHeight="1">
      <c r="A49" s="613"/>
      <c r="B49" s="77"/>
      <c r="C49" s="77"/>
      <c r="F49" s="1336"/>
      <c r="G49" s="1336"/>
      <c r="H49" s="1336"/>
      <c r="I49" s="1336"/>
      <c r="J49" s="1336"/>
      <c r="K49" s="72"/>
      <c r="L49" s="77"/>
      <c r="M49" s="77"/>
      <c r="N49" s="72"/>
      <c r="O49" s="72"/>
      <c r="P49" s="72"/>
      <c r="Q49" s="72"/>
      <c r="R49" s="77"/>
      <c r="S49" s="72"/>
      <c r="T49" s="72"/>
      <c r="U49" s="334"/>
      <c r="V49" s="72"/>
      <c r="W49" s="72"/>
      <c r="X49" s="72"/>
      <c r="Y49" s="72"/>
      <c r="Z49" s="72"/>
      <c r="AA49" s="54"/>
      <c r="AB49" s="355"/>
      <c r="AC49" s="355"/>
      <c r="AD49" s="355"/>
      <c r="AE49" s="355"/>
    </row>
    <row r="50" spans="1:31" s="216" customFormat="1" ht="11.25" customHeight="1">
      <c r="A50" s="613"/>
      <c r="B50" s="77"/>
      <c r="C50" s="77"/>
      <c r="K50" s="72"/>
      <c r="L50" s="77"/>
      <c r="M50" s="77"/>
      <c r="N50" s="72"/>
      <c r="O50" s="72"/>
      <c r="P50" s="72"/>
      <c r="Q50" s="72"/>
      <c r="R50" s="77"/>
      <c r="S50" s="72"/>
      <c r="T50" s="72"/>
      <c r="U50" s="334"/>
      <c r="V50" s="72"/>
      <c r="W50" s="72"/>
      <c r="X50" s="72"/>
      <c r="Y50" s="72"/>
      <c r="Z50" s="72"/>
      <c r="AA50" s="54"/>
      <c r="AB50" s="355"/>
      <c r="AC50" s="355"/>
      <c r="AD50" s="355"/>
      <c r="AE50" s="355"/>
    </row>
    <row r="51" spans="1:31" s="216" customFormat="1" ht="11.25" customHeight="1">
      <c r="A51" s="613"/>
      <c r="B51" s="77"/>
      <c r="C51" s="77"/>
      <c r="K51" s="72"/>
      <c r="L51" s="77"/>
      <c r="M51" s="77"/>
      <c r="N51" s="72"/>
      <c r="O51" s="72"/>
      <c r="P51" s="72"/>
      <c r="Q51" s="72"/>
      <c r="R51" s="77"/>
      <c r="S51" s="72"/>
      <c r="T51" s="72"/>
      <c r="U51" s="334"/>
      <c r="V51" s="72"/>
      <c r="W51" s="72"/>
      <c r="X51" s="72"/>
      <c r="Y51" s="72"/>
      <c r="Z51" s="72"/>
      <c r="AA51" s="54"/>
      <c r="AB51" s="355"/>
      <c r="AC51" s="355"/>
      <c r="AD51" s="355"/>
      <c r="AE51" s="355"/>
    </row>
    <row r="52" spans="1:31" s="216" customFormat="1" ht="11.25" customHeight="1">
      <c r="A52" s="613"/>
      <c r="B52" s="77"/>
      <c r="C52" s="77"/>
      <c r="H52" s="355"/>
      <c r="I52" s="355"/>
      <c r="K52" s="72"/>
      <c r="L52" s="77"/>
      <c r="M52" s="77"/>
      <c r="N52" s="72"/>
      <c r="O52" s="72"/>
      <c r="P52" s="72"/>
      <c r="Q52" s="72"/>
      <c r="R52" s="77"/>
      <c r="S52" s="72"/>
      <c r="T52" s="72"/>
      <c r="U52" s="334"/>
      <c r="V52" s="72"/>
      <c r="W52" s="72"/>
      <c r="X52" s="72"/>
      <c r="Y52" s="72"/>
      <c r="Z52" s="72"/>
      <c r="AA52" s="54"/>
      <c r="AB52" s="355"/>
      <c r="AC52" s="355"/>
      <c r="AD52" s="355"/>
      <c r="AE52" s="355"/>
    </row>
    <row r="53" spans="1:31" s="216" customFormat="1" ht="11.25" customHeight="1">
      <c r="A53" s="613"/>
      <c r="B53" s="77"/>
      <c r="C53" s="77"/>
      <c r="K53" s="72"/>
      <c r="L53" s="77"/>
      <c r="M53" s="77"/>
      <c r="N53" s="72"/>
      <c r="O53" s="72"/>
      <c r="P53" s="72"/>
      <c r="Q53" s="72"/>
      <c r="R53" s="77"/>
      <c r="S53" s="72"/>
      <c r="T53" s="72"/>
      <c r="U53" s="334"/>
      <c r="V53" s="72"/>
      <c r="W53" s="72"/>
      <c r="X53" s="72"/>
      <c r="Y53" s="72"/>
      <c r="Z53" s="72"/>
      <c r="AA53" s="54"/>
      <c r="AB53" s="355"/>
      <c r="AC53" s="355"/>
      <c r="AD53" s="355"/>
      <c r="AE53" s="355"/>
    </row>
    <row r="54" spans="1:31" s="216" customFormat="1" ht="11.25" customHeight="1">
      <c r="A54" s="613"/>
      <c r="B54" s="77"/>
      <c r="C54" s="77"/>
      <c r="K54" s="72"/>
      <c r="L54" s="77"/>
      <c r="M54" s="77"/>
      <c r="N54" s="72"/>
      <c r="O54" s="72"/>
      <c r="P54" s="72"/>
      <c r="Q54" s="72"/>
      <c r="R54" s="77"/>
      <c r="S54" s="72"/>
      <c r="T54" s="72"/>
      <c r="U54" s="334"/>
      <c r="V54" s="72"/>
      <c r="W54" s="72"/>
      <c r="X54" s="72"/>
      <c r="Y54" s="72"/>
      <c r="Z54" s="72"/>
      <c r="AA54" s="54"/>
      <c r="AB54" s="355"/>
      <c r="AC54" s="355"/>
      <c r="AD54" s="355"/>
      <c r="AE54" s="355"/>
    </row>
    <row r="55" spans="1:31" s="216" customFormat="1" ht="11.25" customHeight="1">
      <c r="A55" s="613"/>
      <c r="B55" s="77"/>
      <c r="C55" s="77"/>
      <c r="K55" s="72"/>
      <c r="L55" s="77"/>
      <c r="M55" s="77"/>
      <c r="N55" s="72"/>
      <c r="O55" s="72"/>
      <c r="P55" s="72"/>
      <c r="Q55" s="72"/>
      <c r="R55" s="77"/>
      <c r="S55" s="72"/>
      <c r="T55" s="72"/>
      <c r="U55" s="334"/>
      <c r="V55" s="72"/>
      <c r="W55" s="72"/>
      <c r="X55" s="72"/>
      <c r="Y55" s="72"/>
      <c r="Z55" s="72"/>
      <c r="AA55" s="54"/>
      <c r="AB55" s="355"/>
      <c r="AC55" s="355"/>
      <c r="AD55" s="355"/>
      <c r="AE55" s="355"/>
    </row>
    <row r="56" spans="1:31" s="216" customFormat="1" ht="11.25" customHeight="1">
      <c r="A56" s="613"/>
      <c r="B56" s="77"/>
      <c r="C56" s="77"/>
      <c r="K56" s="72"/>
      <c r="L56" s="77"/>
      <c r="M56" s="77"/>
      <c r="N56" s="72"/>
      <c r="O56" s="72"/>
      <c r="P56" s="72"/>
      <c r="Q56" s="72"/>
      <c r="R56" s="77"/>
      <c r="S56" s="72"/>
      <c r="T56" s="72"/>
      <c r="U56" s="334"/>
      <c r="V56" s="72"/>
      <c r="W56" s="72"/>
      <c r="X56" s="72"/>
      <c r="Y56" s="72"/>
      <c r="Z56" s="72"/>
      <c r="AA56" s="54"/>
      <c r="AB56" s="355"/>
      <c r="AC56" s="355"/>
      <c r="AD56" s="355"/>
      <c r="AE56" s="355"/>
    </row>
    <row r="57" spans="1:31" s="216" customFormat="1" ht="11.25" customHeight="1">
      <c r="A57" s="613"/>
      <c r="B57" s="77"/>
      <c r="C57" s="77"/>
      <c r="K57" s="72"/>
      <c r="L57" s="77"/>
      <c r="M57" s="77"/>
      <c r="N57" s="72"/>
      <c r="O57" s="72"/>
      <c r="P57" s="72"/>
      <c r="Q57" s="72"/>
      <c r="R57" s="77"/>
      <c r="S57" s="72"/>
      <c r="T57" s="72"/>
      <c r="U57" s="334"/>
      <c r="V57" s="72"/>
      <c r="W57" s="72"/>
      <c r="X57" s="72"/>
      <c r="Y57" s="72"/>
      <c r="Z57" s="72"/>
      <c r="AA57" s="54"/>
      <c r="AB57" s="355"/>
      <c r="AC57" s="355"/>
      <c r="AD57" s="355"/>
      <c r="AE57" s="355"/>
    </row>
    <row r="58" spans="1:31" s="216" customFormat="1" ht="11.25" customHeight="1">
      <c r="A58" s="613"/>
      <c r="B58" s="77"/>
      <c r="C58" s="77"/>
      <c r="K58" s="72"/>
      <c r="L58" s="77"/>
      <c r="M58" s="77"/>
      <c r="N58" s="72"/>
      <c r="O58" s="72"/>
      <c r="P58" s="72"/>
      <c r="Q58" s="72"/>
      <c r="R58" s="77"/>
      <c r="S58" s="72"/>
      <c r="T58" s="72"/>
      <c r="U58" s="334"/>
      <c r="V58" s="72"/>
      <c r="W58" s="72"/>
      <c r="X58" s="72"/>
      <c r="Y58" s="72"/>
      <c r="Z58" s="72"/>
      <c r="AA58" s="54"/>
      <c r="AB58" s="355"/>
      <c r="AC58" s="355"/>
      <c r="AD58" s="355"/>
      <c r="AE58" s="355"/>
    </row>
    <row r="59" spans="1:31" s="216" customFormat="1" ht="11.25" customHeight="1">
      <c r="A59" s="613"/>
      <c r="B59" s="77"/>
      <c r="C59" s="77"/>
      <c r="K59" s="72"/>
      <c r="L59" s="77"/>
      <c r="M59" s="77"/>
      <c r="N59" s="72"/>
      <c r="O59" s="72"/>
      <c r="P59" s="72"/>
      <c r="Q59" s="72"/>
      <c r="R59" s="77"/>
      <c r="S59" s="72"/>
      <c r="T59" s="72"/>
      <c r="U59" s="334"/>
      <c r="V59" s="72"/>
      <c r="W59" s="72"/>
      <c r="X59" s="72"/>
      <c r="Y59" s="72"/>
      <c r="Z59" s="72"/>
      <c r="AA59" s="54"/>
      <c r="AB59" s="355"/>
      <c r="AC59" s="355"/>
      <c r="AD59" s="355"/>
      <c r="AE59" s="355"/>
    </row>
    <row r="60" spans="1:31" s="216" customFormat="1" ht="11.25" customHeight="1">
      <c r="A60" s="613"/>
      <c r="B60" s="77"/>
      <c r="C60" s="77"/>
      <c r="K60" s="72"/>
      <c r="L60" s="77"/>
      <c r="M60" s="77"/>
      <c r="N60" s="72"/>
      <c r="O60" s="72"/>
      <c r="P60" s="72"/>
      <c r="Q60" s="72"/>
      <c r="R60" s="77"/>
      <c r="S60" s="72"/>
      <c r="T60" s="72"/>
      <c r="U60" s="334"/>
      <c r="V60" s="72"/>
      <c r="W60" s="72"/>
      <c r="X60" s="72"/>
      <c r="Y60" s="72"/>
      <c r="Z60" s="72"/>
      <c r="AA60" s="54"/>
      <c r="AB60" s="355"/>
      <c r="AC60" s="355"/>
      <c r="AD60" s="355"/>
      <c r="AE60" s="355"/>
    </row>
    <row r="61" spans="1:31" s="216" customFormat="1" ht="11.25" customHeight="1">
      <c r="A61" s="613"/>
      <c r="B61" s="77"/>
      <c r="C61" s="77"/>
      <c r="K61" s="72"/>
      <c r="L61" s="77"/>
      <c r="M61" s="77"/>
      <c r="N61" s="72"/>
      <c r="O61" s="72"/>
      <c r="P61" s="72"/>
      <c r="Q61" s="72"/>
      <c r="R61" s="77"/>
      <c r="S61" s="72"/>
      <c r="T61" s="72"/>
      <c r="U61" s="334"/>
      <c r="V61" s="72"/>
      <c r="W61" s="72"/>
      <c r="X61" s="72"/>
      <c r="Y61" s="72"/>
      <c r="Z61" s="72"/>
      <c r="AA61" s="54"/>
      <c r="AB61" s="355"/>
      <c r="AC61" s="355"/>
      <c r="AD61" s="355"/>
      <c r="AE61" s="355"/>
    </row>
    <row r="62" spans="1:31" s="216" customFormat="1" ht="11.25" customHeight="1">
      <c r="A62" s="613"/>
      <c r="B62" s="77"/>
      <c r="C62" s="77"/>
      <c r="K62" s="72"/>
      <c r="L62" s="77"/>
      <c r="M62" s="77"/>
      <c r="N62" s="72"/>
      <c r="O62" s="72"/>
      <c r="P62" s="72"/>
      <c r="Q62" s="72"/>
      <c r="R62" s="77"/>
      <c r="S62" s="72"/>
      <c r="T62" s="72"/>
      <c r="U62" s="334"/>
      <c r="V62" s="72"/>
      <c r="W62" s="72"/>
      <c r="X62" s="72"/>
      <c r="Y62" s="72"/>
      <c r="Z62" s="72"/>
      <c r="AA62" s="54"/>
      <c r="AB62" s="355"/>
      <c r="AC62" s="355"/>
      <c r="AD62" s="355"/>
      <c r="AE62" s="355"/>
    </row>
    <row r="63" spans="1:31" s="216" customFormat="1" ht="11.25" customHeight="1">
      <c r="A63" s="613"/>
      <c r="B63" s="77"/>
      <c r="C63" s="77"/>
      <c r="K63" s="72"/>
      <c r="L63" s="77"/>
      <c r="M63" s="77"/>
      <c r="N63" s="72"/>
      <c r="O63" s="72"/>
      <c r="P63" s="72"/>
      <c r="Q63" s="72"/>
      <c r="R63" s="77"/>
      <c r="S63" s="72"/>
      <c r="T63" s="72"/>
      <c r="U63" s="334"/>
      <c r="V63" s="72"/>
      <c r="W63" s="72"/>
      <c r="X63" s="72"/>
      <c r="Y63" s="72"/>
      <c r="Z63" s="72"/>
      <c r="AA63" s="54"/>
      <c r="AB63" s="355"/>
      <c r="AC63" s="355"/>
      <c r="AD63" s="355"/>
      <c r="AE63" s="355"/>
    </row>
    <row r="64" spans="1:31" s="216" customFormat="1" ht="11.25" customHeight="1">
      <c r="A64" s="613"/>
      <c r="B64" s="77"/>
      <c r="C64" s="77"/>
      <c r="K64" s="72"/>
      <c r="L64" s="77"/>
      <c r="M64" s="77"/>
      <c r="N64" s="72"/>
      <c r="O64" s="72"/>
      <c r="P64" s="72"/>
      <c r="Q64" s="72"/>
      <c r="R64" s="77"/>
      <c r="S64" s="72"/>
      <c r="T64" s="72"/>
      <c r="U64" s="334"/>
      <c r="V64" s="72"/>
      <c r="W64" s="72"/>
      <c r="X64" s="72"/>
      <c r="Y64" s="72"/>
      <c r="Z64" s="72"/>
      <c r="AA64" s="54"/>
      <c r="AB64" s="355"/>
      <c r="AC64" s="355"/>
      <c r="AD64" s="355"/>
      <c r="AE64" s="355"/>
    </row>
    <row r="65" spans="1:31" s="216" customFormat="1" ht="11.25" customHeight="1">
      <c r="A65" s="613"/>
      <c r="B65" s="77"/>
      <c r="C65" s="77"/>
      <c r="K65" s="72"/>
      <c r="L65" s="77"/>
      <c r="M65" s="77"/>
      <c r="N65" s="72"/>
      <c r="O65" s="72"/>
      <c r="P65" s="72"/>
      <c r="Q65" s="72"/>
      <c r="R65" s="77"/>
      <c r="S65" s="72"/>
      <c r="T65" s="72"/>
      <c r="U65" s="334"/>
      <c r="V65" s="72"/>
      <c r="W65" s="72"/>
      <c r="X65" s="72"/>
      <c r="Y65" s="72"/>
      <c r="Z65" s="72"/>
      <c r="AA65" s="54"/>
      <c r="AB65" s="355"/>
      <c r="AC65" s="355"/>
      <c r="AD65" s="355"/>
      <c r="AE65" s="355"/>
    </row>
    <row r="66" spans="1:31" s="216" customFormat="1" ht="11.25" customHeight="1">
      <c r="A66" s="613"/>
      <c r="B66" s="77"/>
      <c r="C66" s="77"/>
      <c r="K66" s="72"/>
      <c r="L66" s="77"/>
      <c r="M66" s="77"/>
      <c r="N66" s="72"/>
      <c r="O66" s="72"/>
      <c r="P66" s="72"/>
      <c r="Q66" s="72"/>
      <c r="R66" s="77"/>
      <c r="S66" s="72"/>
      <c r="T66" s="72"/>
      <c r="U66" s="334"/>
      <c r="V66" s="72"/>
      <c r="W66" s="72"/>
      <c r="X66" s="72"/>
      <c r="Y66" s="72"/>
      <c r="Z66" s="72"/>
      <c r="AA66" s="54"/>
      <c r="AB66" s="355"/>
      <c r="AC66" s="355"/>
      <c r="AD66" s="355"/>
      <c r="AE66" s="355"/>
    </row>
    <row r="67" spans="1:31" s="216" customFormat="1" ht="11.25" customHeight="1">
      <c r="A67" s="613"/>
      <c r="B67" s="77"/>
      <c r="C67" s="77"/>
      <c r="K67" s="72"/>
      <c r="L67" s="77"/>
      <c r="M67" s="77"/>
      <c r="N67" s="72"/>
      <c r="O67" s="72"/>
      <c r="P67" s="72"/>
      <c r="Q67" s="72"/>
      <c r="R67" s="77"/>
      <c r="S67" s="72"/>
      <c r="T67" s="72"/>
      <c r="U67" s="334"/>
      <c r="V67" s="72"/>
      <c r="W67" s="72"/>
      <c r="X67" s="72"/>
      <c r="Y67" s="72"/>
      <c r="Z67" s="72"/>
      <c r="AA67" s="54"/>
      <c r="AB67" s="355"/>
      <c r="AC67" s="355"/>
      <c r="AD67" s="355"/>
      <c r="AE67" s="355"/>
    </row>
    <row r="68" spans="1:31" s="216" customFormat="1" ht="11.25" customHeight="1">
      <c r="A68" s="613"/>
      <c r="B68" s="77"/>
      <c r="C68" s="77"/>
      <c r="K68" s="72"/>
      <c r="L68" s="77"/>
      <c r="M68" s="77"/>
      <c r="N68" s="72"/>
      <c r="O68" s="72"/>
      <c r="P68" s="72"/>
      <c r="Q68" s="72"/>
      <c r="R68" s="77"/>
      <c r="S68" s="72"/>
      <c r="T68" s="72"/>
      <c r="U68" s="334"/>
      <c r="V68" s="72"/>
      <c r="W68" s="72"/>
      <c r="X68" s="72"/>
      <c r="Y68" s="72"/>
      <c r="Z68" s="72"/>
      <c r="AA68" s="54"/>
      <c r="AB68" s="355"/>
      <c r="AC68" s="355"/>
      <c r="AD68" s="355"/>
      <c r="AE68" s="355"/>
    </row>
    <row r="69" spans="1:31" s="216" customFormat="1" ht="11.25" customHeight="1">
      <c r="A69" s="613"/>
      <c r="B69" s="77"/>
      <c r="C69" s="77"/>
      <c r="K69" s="72"/>
      <c r="L69" s="77"/>
      <c r="M69" s="77"/>
      <c r="N69" s="72"/>
      <c r="O69" s="72"/>
      <c r="P69" s="72"/>
      <c r="Q69" s="72"/>
      <c r="R69" s="77"/>
      <c r="S69" s="72"/>
      <c r="T69" s="72"/>
      <c r="U69" s="334"/>
      <c r="V69" s="72"/>
      <c r="W69" s="72"/>
      <c r="X69" s="72"/>
      <c r="Y69" s="72"/>
      <c r="Z69" s="72"/>
      <c r="AA69" s="54"/>
      <c r="AB69" s="355"/>
      <c r="AC69" s="355"/>
      <c r="AD69" s="355"/>
      <c r="AE69" s="355"/>
    </row>
    <row r="70" spans="1:31" s="216" customFormat="1" ht="11.25" customHeight="1">
      <c r="A70" s="613"/>
      <c r="B70" s="77"/>
      <c r="C70" s="77"/>
      <c r="K70" s="72"/>
      <c r="L70" s="77"/>
      <c r="M70" s="77"/>
      <c r="N70" s="72"/>
      <c r="O70" s="72"/>
      <c r="P70" s="72"/>
      <c r="Q70" s="72"/>
      <c r="R70" s="77"/>
      <c r="S70" s="72"/>
      <c r="T70" s="72"/>
      <c r="U70" s="334"/>
      <c r="V70" s="72"/>
      <c r="W70" s="72"/>
      <c r="X70" s="72"/>
      <c r="Y70" s="72"/>
      <c r="Z70" s="72"/>
      <c r="AA70" s="54"/>
      <c r="AB70" s="355"/>
      <c r="AC70" s="355"/>
      <c r="AD70" s="355"/>
      <c r="AE70" s="355"/>
    </row>
    <row r="71" spans="1:31" s="216" customFormat="1" ht="11.25" customHeight="1">
      <c r="A71" s="613"/>
      <c r="B71" s="77"/>
      <c r="C71" s="77"/>
      <c r="K71" s="72"/>
      <c r="L71" s="77"/>
      <c r="M71" s="77"/>
      <c r="N71" s="72"/>
      <c r="O71" s="72"/>
      <c r="P71" s="72"/>
      <c r="Q71" s="72"/>
      <c r="R71" s="77"/>
      <c r="S71" s="72"/>
      <c r="T71" s="72"/>
      <c r="U71" s="334"/>
      <c r="V71" s="72"/>
      <c r="W71" s="72"/>
      <c r="X71" s="72"/>
      <c r="Y71" s="72"/>
      <c r="Z71" s="72"/>
      <c r="AA71" s="54"/>
      <c r="AB71" s="355"/>
      <c r="AC71" s="355"/>
      <c r="AD71" s="355"/>
      <c r="AE71" s="355"/>
    </row>
    <row r="72" spans="1:31" s="216" customFormat="1" ht="11.25" customHeight="1">
      <c r="A72" s="613"/>
      <c r="B72" s="77"/>
      <c r="C72" s="77"/>
      <c r="K72" s="72"/>
      <c r="L72" s="77"/>
      <c r="M72" s="77"/>
      <c r="N72" s="72"/>
      <c r="O72" s="72"/>
      <c r="P72" s="72"/>
      <c r="Q72" s="72"/>
      <c r="R72" s="77"/>
      <c r="S72" s="72"/>
      <c r="T72" s="72"/>
      <c r="U72" s="334"/>
      <c r="V72" s="72"/>
      <c r="W72" s="72"/>
      <c r="X72" s="72"/>
      <c r="Y72" s="72"/>
      <c r="Z72" s="72"/>
      <c r="AA72" s="54"/>
      <c r="AB72" s="355"/>
      <c r="AC72" s="355"/>
      <c r="AD72" s="355"/>
      <c r="AE72" s="355"/>
    </row>
    <row r="73" spans="1:31" s="216" customFormat="1" ht="11.25" customHeight="1">
      <c r="A73" s="613"/>
      <c r="B73" s="77"/>
      <c r="C73" s="77"/>
      <c r="K73" s="72"/>
      <c r="L73" s="77"/>
      <c r="M73" s="77"/>
      <c r="N73" s="72"/>
      <c r="O73" s="72"/>
      <c r="P73" s="72"/>
      <c r="Q73" s="72"/>
      <c r="R73" s="77"/>
      <c r="S73" s="72"/>
      <c r="T73" s="72"/>
      <c r="U73" s="334"/>
      <c r="V73" s="72"/>
      <c r="W73" s="72"/>
      <c r="X73" s="72"/>
      <c r="Y73" s="72"/>
      <c r="Z73" s="72"/>
      <c r="AA73" s="54"/>
      <c r="AB73" s="355"/>
      <c r="AC73" s="355"/>
      <c r="AD73" s="355"/>
      <c r="AE73" s="355"/>
    </row>
    <row r="74" spans="1:31" s="216" customFormat="1" ht="11.25" customHeight="1">
      <c r="A74" s="613"/>
      <c r="B74" s="77"/>
      <c r="C74" s="77"/>
      <c r="K74" s="72"/>
      <c r="L74" s="77"/>
      <c r="M74" s="77"/>
      <c r="N74" s="72"/>
      <c r="O74" s="72"/>
      <c r="P74" s="72"/>
      <c r="Q74" s="72"/>
      <c r="R74" s="77"/>
      <c r="S74" s="72"/>
      <c r="T74" s="72"/>
      <c r="U74" s="334"/>
      <c r="V74" s="72"/>
      <c r="W74" s="72"/>
      <c r="X74" s="72"/>
      <c r="Y74" s="72"/>
      <c r="Z74" s="72"/>
      <c r="AA74" s="54"/>
      <c r="AB74" s="355"/>
      <c r="AC74" s="355"/>
      <c r="AD74" s="355"/>
      <c r="AE74" s="355"/>
    </row>
    <row r="75" spans="1:31" s="216" customFormat="1" ht="11.25" customHeight="1">
      <c r="A75" s="613"/>
      <c r="B75" s="77"/>
      <c r="C75" s="77"/>
      <c r="K75" s="72"/>
      <c r="L75" s="77"/>
      <c r="M75" s="77"/>
      <c r="N75" s="72"/>
      <c r="O75" s="72"/>
      <c r="P75" s="72"/>
      <c r="Q75" s="72"/>
      <c r="R75" s="77"/>
      <c r="S75" s="72"/>
      <c r="T75" s="72"/>
      <c r="U75" s="334"/>
      <c r="V75" s="72"/>
      <c r="W75" s="72"/>
      <c r="X75" s="72"/>
      <c r="Y75" s="72"/>
      <c r="Z75" s="72"/>
      <c r="AA75" s="54"/>
      <c r="AB75" s="355"/>
      <c r="AC75" s="355"/>
      <c r="AD75" s="355"/>
      <c r="AE75" s="355"/>
    </row>
    <row r="76" spans="1:31" s="216" customFormat="1" ht="11.25" customHeight="1">
      <c r="A76" s="613"/>
      <c r="B76" s="77"/>
      <c r="C76" s="77"/>
      <c r="K76" s="72"/>
      <c r="L76" s="77"/>
      <c r="M76" s="77"/>
      <c r="N76" s="72"/>
      <c r="O76" s="72"/>
      <c r="P76" s="72"/>
      <c r="Q76" s="72"/>
      <c r="R76" s="77"/>
      <c r="S76" s="72"/>
      <c r="T76" s="72"/>
      <c r="U76" s="334"/>
      <c r="V76" s="72"/>
      <c r="W76" s="72"/>
      <c r="X76" s="72"/>
      <c r="Y76" s="72"/>
      <c r="Z76" s="72"/>
      <c r="AA76" s="54"/>
      <c r="AB76" s="355"/>
      <c r="AC76" s="355"/>
      <c r="AD76" s="355"/>
      <c r="AE76" s="355"/>
    </row>
    <row r="77" spans="1:31" s="216" customFormat="1" ht="11.25" customHeight="1">
      <c r="A77" s="613"/>
      <c r="B77" s="77"/>
      <c r="C77" s="77"/>
      <c r="K77" s="72"/>
      <c r="L77" s="77"/>
      <c r="M77" s="77"/>
      <c r="N77" s="72"/>
      <c r="O77" s="72"/>
      <c r="P77" s="72"/>
      <c r="Q77" s="72"/>
      <c r="R77" s="77"/>
      <c r="S77" s="72"/>
      <c r="T77" s="72"/>
      <c r="U77" s="334"/>
      <c r="V77" s="72"/>
      <c r="W77" s="72"/>
      <c r="X77" s="72"/>
      <c r="Y77" s="72"/>
      <c r="Z77" s="72"/>
      <c r="AA77" s="54"/>
      <c r="AB77" s="355"/>
      <c r="AC77" s="355"/>
      <c r="AD77" s="355"/>
      <c r="AE77" s="355"/>
    </row>
    <row r="78" spans="1:31" s="216" customFormat="1" ht="11.25" customHeight="1">
      <c r="A78" s="613"/>
      <c r="B78" s="77"/>
      <c r="C78" s="77"/>
      <c r="K78" s="72"/>
      <c r="L78" s="77"/>
      <c r="M78" s="77"/>
      <c r="N78" s="72"/>
      <c r="O78" s="72"/>
      <c r="P78" s="72"/>
      <c r="Q78" s="72"/>
      <c r="R78" s="77"/>
      <c r="S78" s="72"/>
      <c r="T78" s="72"/>
      <c r="U78" s="334"/>
      <c r="V78" s="72"/>
      <c r="W78" s="72"/>
      <c r="X78" s="72"/>
      <c r="Y78" s="72"/>
      <c r="Z78" s="72"/>
      <c r="AA78" s="54"/>
      <c r="AB78" s="355"/>
      <c r="AC78" s="355"/>
      <c r="AD78" s="355"/>
      <c r="AE78" s="355"/>
    </row>
    <row r="79" spans="1:31" s="216" customFormat="1" ht="11.25" customHeight="1">
      <c r="A79" s="613"/>
      <c r="B79" s="77"/>
      <c r="C79" s="77"/>
      <c r="K79" s="72"/>
      <c r="L79" s="77"/>
      <c r="M79" s="77"/>
      <c r="N79" s="72"/>
      <c r="O79" s="72"/>
      <c r="P79" s="72"/>
      <c r="Q79" s="72"/>
      <c r="R79" s="77"/>
      <c r="S79" s="72"/>
      <c r="T79" s="72"/>
      <c r="U79" s="334"/>
      <c r="V79" s="72"/>
      <c r="W79" s="72"/>
      <c r="X79" s="72"/>
      <c r="Y79" s="72"/>
      <c r="Z79" s="72"/>
      <c r="AA79" s="54"/>
      <c r="AB79" s="355"/>
      <c r="AC79" s="355"/>
      <c r="AD79" s="355"/>
      <c r="AE79" s="355"/>
    </row>
    <row r="80" spans="1:31" s="216" customFormat="1" ht="11.25" customHeight="1">
      <c r="A80" s="613"/>
      <c r="B80" s="77"/>
      <c r="C80" s="77"/>
      <c r="K80" s="72"/>
      <c r="L80" s="77"/>
      <c r="M80" s="77"/>
      <c r="N80" s="72"/>
      <c r="O80" s="72"/>
      <c r="P80" s="72"/>
      <c r="Q80" s="72"/>
      <c r="R80" s="77"/>
      <c r="S80" s="72"/>
      <c r="T80" s="72"/>
      <c r="U80" s="334"/>
      <c r="V80" s="72"/>
      <c r="W80" s="72"/>
      <c r="X80" s="72"/>
      <c r="Y80" s="72"/>
      <c r="Z80" s="72"/>
      <c r="AA80" s="54"/>
      <c r="AB80" s="355"/>
      <c r="AC80" s="355"/>
      <c r="AD80" s="355"/>
      <c r="AE80" s="355"/>
    </row>
    <row r="81" spans="1:31" s="216" customFormat="1" ht="11.25" customHeight="1">
      <c r="A81" s="613"/>
      <c r="B81" s="77"/>
      <c r="C81" s="77"/>
      <c r="K81" s="72"/>
      <c r="L81" s="77"/>
      <c r="M81" s="77"/>
      <c r="N81" s="72"/>
      <c r="O81" s="72"/>
      <c r="P81" s="72"/>
      <c r="Q81" s="72"/>
      <c r="R81" s="77"/>
      <c r="S81" s="72"/>
      <c r="T81" s="72"/>
      <c r="U81" s="334"/>
      <c r="V81" s="72"/>
      <c r="W81" s="72"/>
      <c r="X81" s="72"/>
      <c r="Y81" s="72"/>
      <c r="Z81" s="72"/>
      <c r="AA81" s="54"/>
      <c r="AB81" s="355"/>
      <c r="AC81" s="355"/>
      <c r="AD81" s="355"/>
      <c r="AE81" s="355"/>
    </row>
    <row r="82" spans="1:31" s="216" customFormat="1" ht="11.25" customHeight="1">
      <c r="A82" s="613"/>
      <c r="B82" s="77"/>
      <c r="C82" s="77"/>
      <c r="K82" s="72"/>
      <c r="L82" s="77"/>
      <c r="M82" s="77"/>
      <c r="N82" s="72"/>
      <c r="O82" s="72"/>
      <c r="P82" s="72"/>
      <c r="Q82" s="72"/>
      <c r="R82" s="77"/>
      <c r="S82" s="72"/>
      <c r="T82" s="72"/>
      <c r="U82" s="334"/>
      <c r="V82" s="72"/>
      <c r="W82" s="72"/>
      <c r="X82" s="72"/>
      <c r="Y82" s="72"/>
      <c r="Z82" s="72"/>
      <c r="AA82" s="54"/>
      <c r="AB82" s="355"/>
      <c r="AC82" s="355"/>
      <c r="AD82" s="355"/>
      <c r="AE82" s="355"/>
    </row>
    <row r="83" spans="1:31" s="216" customFormat="1" ht="11.25" customHeight="1">
      <c r="A83" s="613"/>
      <c r="B83" s="77"/>
      <c r="C83" s="77"/>
      <c r="K83" s="72"/>
      <c r="L83" s="77"/>
      <c r="M83" s="77"/>
      <c r="N83" s="72"/>
      <c r="O83" s="72"/>
      <c r="P83" s="72"/>
      <c r="Q83" s="72"/>
      <c r="R83" s="77"/>
      <c r="S83" s="72"/>
      <c r="T83" s="72"/>
      <c r="U83" s="334"/>
      <c r="V83" s="72"/>
      <c r="W83" s="72"/>
      <c r="X83" s="72"/>
      <c r="Y83" s="72"/>
      <c r="Z83" s="72"/>
      <c r="AA83" s="54"/>
      <c r="AB83" s="355"/>
      <c r="AC83" s="355"/>
      <c r="AD83" s="355"/>
      <c r="AE83" s="355"/>
    </row>
    <row r="84" spans="1:31" s="216" customFormat="1" ht="11.25" customHeight="1">
      <c r="A84" s="613"/>
      <c r="B84" s="77"/>
      <c r="C84" s="77"/>
      <c r="K84" s="72"/>
      <c r="L84" s="77"/>
      <c r="M84" s="77"/>
      <c r="N84" s="72"/>
      <c r="O84" s="72"/>
      <c r="P84" s="72"/>
      <c r="Q84" s="72"/>
      <c r="R84" s="77"/>
      <c r="S84" s="72"/>
      <c r="T84" s="72"/>
      <c r="U84" s="334"/>
      <c r="V84" s="72"/>
      <c r="W84" s="72"/>
      <c r="X84" s="72"/>
      <c r="Y84" s="72"/>
      <c r="Z84" s="72"/>
      <c r="AA84" s="54"/>
      <c r="AB84" s="355"/>
      <c r="AC84" s="355"/>
      <c r="AD84" s="355"/>
      <c r="AE84" s="355"/>
    </row>
    <row r="85" spans="1:31" s="216" customFormat="1" ht="11.25" customHeight="1">
      <c r="A85" s="613"/>
      <c r="B85" s="77"/>
      <c r="C85" s="77"/>
      <c r="K85" s="72"/>
      <c r="L85" s="77"/>
      <c r="M85" s="77"/>
      <c r="N85" s="72"/>
      <c r="O85" s="72"/>
      <c r="P85" s="72"/>
      <c r="Q85" s="72"/>
      <c r="R85" s="77"/>
      <c r="S85" s="72"/>
      <c r="T85" s="72"/>
      <c r="U85" s="334"/>
      <c r="V85" s="72"/>
      <c r="W85" s="72"/>
      <c r="X85" s="72"/>
      <c r="Y85" s="72"/>
      <c r="Z85" s="72"/>
      <c r="AA85" s="54"/>
      <c r="AB85" s="355"/>
      <c r="AC85" s="355"/>
      <c r="AD85" s="355"/>
      <c r="AE85" s="355"/>
    </row>
    <row r="86" spans="1:31" s="216" customFormat="1" ht="11.25" customHeight="1">
      <c r="A86" s="613"/>
      <c r="B86" s="77"/>
      <c r="C86" s="77"/>
      <c r="K86" s="72"/>
      <c r="L86" s="77"/>
      <c r="M86" s="77"/>
      <c r="N86" s="72"/>
      <c r="O86" s="72"/>
      <c r="P86" s="72"/>
      <c r="Q86" s="72"/>
      <c r="R86" s="77"/>
      <c r="S86" s="72"/>
      <c r="T86" s="72"/>
      <c r="U86" s="334"/>
      <c r="V86" s="72"/>
      <c r="W86" s="72"/>
      <c r="X86" s="72"/>
      <c r="Y86" s="72"/>
      <c r="Z86" s="72"/>
      <c r="AA86" s="54"/>
      <c r="AB86" s="355"/>
      <c r="AC86" s="355"/>
      <c r="AD86" s="355"/>
      <c r="AE86" s="355"/>
    </row>
    <row r="87" spans="1:31" s="216" customFormat="1" ht="11.25" customHeight="1">
      <c r="A87" s="613"/>
      <c r="B87" s="77"/>
      <c r="C87" s="77"/>
      <c r="K87" s="72"/>
      <c r="L87" s="77"/>
      <c r="M87" s="77"/>
      <c r="N87" s="72"/>
      <c r="O87" s="72"/>
      <c r="P87" s="72"/>
      <c r="Q87" s="72"/>
      <c r="R87" s="77"/>
      <c r="S87" s="72"/>
      <c r="T87" s="72"/>
      <c r="U87" s="334"/>
      <c r="V87" s="72"/>
      <c r="W87" s="72"/>
      <c r="X87" s="72"/>
      <c r="Y87" s="72"/>
      <c r="Z87" s="72"/>
      <c r="AA87" s="54"/>
      <c r="AB87" s="355"/>
      <c r="AC87" s="355"/>
      <c r="AD87" s="355"/>
      <c r="AE87" s="355"/>
    </row>
    <row r="88" spans="1:31" s="216" customFormat="1" ht="11.25" customHeight="1">
      <c r="A88" s="613"/>
      <c r="B88" s="77"/>
      <c r="C88" s="77"/>
      <c r="K88" s="72"/>
      <c r="L88" s="77"/>
      <c r="M88" s="77"/>
      <c r="N88" s="72"/>
      <c r="O88" s="72"/>
      <c r="P88" s="72"/>
      <c r="Q88" s="72"/>
      <c r="R88" s="77"/>
      <c r="S88" s="72"/>
      <c r="T88" s="72"/>
      <c r="U88" s="334"/>
      <c r="V88" s="72"/>
      <c r="W88" s="72"/>
      <c r="X88" s="72"/>
      <c r="Y88" s="72"/>
      <c r="Z88" s="72"/>
      <c r="AA88" s="54"/>
      <c r="AB88" s="355"/>
      <c r="AC88" s="355"/>
      <c r="AD88" s="355"/>
      <c r="AE88" s="355"/>
    </row>
    <row r="89" spans="1:31" s="216" customFormat="1" ht="11.25" customHeight="1">
      <c r="A89" s="613"/>
      <c r="B89" s="77"/>
      <c r="C89" s="77"/>
      <c r="K89" s="72"/>
      <c r="L89" s="77"/>
      <c r="M89" s="77"/>
      <c r="N89" s="72"/>
      <c r="O89" s="72"/>
      <c r="P89" s="72"/>
      <c r="Q89" s="72"/>
      <c r="R89" s="77"/>
      <c r="S89" s="72"/>
      <c r="T89" s="72"/>
      <c r="U89" s="334"/>
      <c r="V89" s="72"/>
      <c r="W89" s="72"/>
      <c r="X89" s="72"/>
      <c r="Y89" s="72"/>
      <c r="Z89" s="72"/>
      <c r="AA89" s="54"/>
      <c r="AB89" s="355"/>
      <c r="AC89" s="355"/>
      <c r="AD89" s="355"/>
      <c r="AE89" s="355"/>
    </row>
    <row r="90" spans="1:31" s="216" customFormat="1" ht="11.25" customHeight="1">
      <c r="A90" s="613"/>
      <c r="B90" s="77"/>
      <c r="C90" s="77"/>
      <c r="K90" s="72"/>
      <c r="L90" s="77"/>
      <c r="M90" s="77"/>
      <c r="N90" s="72"/>
      <c r="O90" s="72"/>
      <c r="P90" s="72"/>
      <c r="Q90" s="72"/>
      <c r="R90" s="77"/>
      <c r="S90" s="72"/>
      <c r="T90" s="72"/>
      <c r="U90" s="334"/>
      <c r="V90" s="72"/>
      <c r="W90" s="72"/>
      <c r="X90" s="72"/>
      <c r="Y90" s="72"/>
      <c r="Z90" s="72"/>
      <c r="AA90" s="54"/>
      <c r="AB90" s="355"/>
      <c r="AC90" s="355"/>
      <c r="AD90" s="355"/>
      <c r="AE90" s="355"/>
    </row>
    <row r="91" spans="1:31" s="216" customFormat="1" ht="11.25" customHeight="1">
      <c r="A91" s="613"/>
      <c r="B91" s="77"/>
      <c r="C91" s="77"/>
      <c r="K91" s="72"/>
      <c r="L91" s="77"/>
      <c r="M91" s="77"/>
      <c r="N91" s="72"/>
      <c r="O91" s="72"/>
      <c r="P91" s="72"/>
      <c r="Q91" s="72"/>
      <c r="R91" s="77"/>
      <c r="S91" s="72"/>
      <c r="T91" s="72"/>
      <c r="U91" s="334"/>
      <c r="V91" s="72"/>
      <c r="W91" s="72"/>
      <c r="X91" s="72"/>
      <c r="Y91" s="72"/>
      <c r="Z91" s="72"/>
      <c r="AA91" s="54"/>
      <c r="AB91" s="355"/>
      <c r="AC91" s="355"/>
      <c r="AD91" s="355"/>
      <c r="AE91" s="355"/>
    </row>
    <row r="92" spans="1:31" s="216" customFormat="1" ht="11.25" customHeight="1">
      <c r="A92" s="613"/>
      <c r="B92" s="77"/>
      <c r="C92" s="77"/>
      <c r="K92" s="72"/>
      <c r="L92" s="77"/>
      <c r="M92" s="77"/>
      <c r="N92" s="72"/>
      <c r="O92" s="72"/>
      <c r="P92" s="72"/>
      <c r="Q92" s="72"/>
      <c r="R92" s="77"/>
      <c r="S92" s="72"/>
      <c r="T92" s="72"/>
      <c r="U92" s="334"/>
      <c r="V92" s="72"/>
      <c r="W92" s="72"/>
      <c r="X92" s="72"/>
      <c r="Y92" s="72"/>
      <c r="Z92" s="72"/>
      <c r="AA92" s="54"/>
      <c r="AB92" s="355"/>
      <c r="AC92" s="355"/>
      <c r="AD92" s="355"/>
      <c r="AE92" s="355"/>
    </row>
    <row r="93" spans="1:31" s="216" customFormat="1" ht="11.25" customHeight="1">
      <c r="A93" s="613"/>
      <c r="B93" s="77"/>
      <c r="C93" s="77"/>
      <c r="K93" s="72"/>
      <c r="L93" s="77"/>
      <c r="M93" s="77"/>
      <c r="N93" s="72"/>
      <c r="O93" s="72"/>
      <c r="P93" s="72"/>
      <c r="Q93" s="72"/>
      <c r="R93" s="77"/>
      <c r="S93" s="72"/>
      <c r="T93" s="72"/>
      <c r="U93" s="334"/>
      <c r="V93" s="72"/>
      <c r="W93" s="72"/>
      <c r="X93" s="72"/>
      <c r="Y93" s="72"/>
      <c r="Z93" s="72"/>
      <c r="AA93" s="54"/>
      <c r="AB93" s="355"/>
      <c r="AC93" s="355"/>
      <c r="AD93" s="355"/>
      <c r="AE93" s="355"/>
    </row>
    <row r="94" spans="1:31" s="216" customFormat="1" ht="11.25" customHeight="1">
      <c r="A94" s="613"/>
      <c r="B94" s="77"/>
      <c r="C94" s="77"/>
      <c r="K94" s="72"/>
      <c r="L94" s="77"/>
      <c r="M94" s="77"/>
      <c r="N94" s="72"/>
      <c r="O94" s="72"/>
      <c r="P94" s="72"/>
      <c r="Q94" s="72"/>
      <c r="R94" s="77"/>
      <c r="S94" s="72"/>
      <c r="T94" s="72"/>
      <c r="U94" s="334"/>
      <c r="V94" s="72"/>
      <c r="W94" s="72"/>
      <c r="X94" s="72"/>
      <c r="Y94" s="72"/>
      <c r="Z94" s="72"/>
      <c r="AA94" s="54"/>
      <c r="AB94" s="355"/>
      <c r="AC94" s="355"/>
      <c r="AD94" s="355"/>
      <c r="AE94" s="355"/>
    </row>
    <row r="95" spans="1:31" s="216" customFormat="1" ht="11.25" customHeight="1">
      <c r="A95" s="613"/>
      <c r="B95" s="77"/>
      <c r="C95" s="77"/>
      <c r="K95" s="72"/>
      <c r="L95" s="77"/>
      <c r="M95" s="77"/>
      <c r="N95" s="72"/>
      <c r="O95" s="72"/>
      <c r="P95" s="72"/>
      <c r="Q95" s="72"/>
      <c r="R95" s="77"/>
      <c r="S95" s="72"/>
      <c r="T95" s="72"/>
      <c r="U95" s="334"/>
      <c r="V95" s="72"/>
      <c r="W95" s="72"/>
      <c r="X95" s="72"/>
      <c r="Y95" s="72"/>
      <c r="Z95" s="72"/>
      <c r="AA95" s="54"/>
      <c r="AB95" s="355"/>
      <c r="AC95" s="355"/>
      <c r="AD95" s="355"/>
      <c r="AE95" s="355"/>
    </row>
    <row r="96" spans="1:31" s="216" customFormat="1" ht="11.25" customHeight="1">
      <c r="A96" s="613"/>
      <c r="B96" s="77"/>
      <c r="C96" s="77"/>
      <c r="K96" s="72"/>
      <c r="L96" s="77"/>
      <c r="M96" s="77"/>
      <c r="N96" s="72"/>
      <c r="O96" s="72"/>
      <c r="P96" s="72"/>
      <c r="Q96" s="72"/>
      <c r="R96" s="77"/>
      <c r="S96" s="72"/>
      <c r="T96" s="72"/>
      <c r="U96" s="334"/>
      <c r="V96" s="72"/>
      <c r="W96" s="72"/>
      <c r="X96" s="72"/>
      <c r="Y96" s="72"/>
      <c r="Z96" s="72"/>
      <c r="AA96" s="54"/>
      <c r="AB96" s="355"/>
      <c r="AC96" s="355"/>
      <c r="AD96" s="355"/>
      <c r="AE96" s="355"/>
    </row>
    <row r="97" spans="1:31" s="216" customFormat="1" ht="11.25" customHeight="1">
      <c r="A97" s="613"/>
      <c r="B97" s="77"/>
      <c r="C97" s="77"/>
      <c r="K97" s="72"/>
      <c r="L97" s="77"/>
      <c r="M97" s="77"/>
      <c r="N97" s="72"/>
      <c r="O97" s="72"/>
      <c r="P97" s="72"/>
      <c r="Q97" s="72"/>
      <c r="R97" s="77"/>
      <c r="S97" s="72"/>
      <c r="T97" s="72"/>
      <c r="U97" s="334"/>
      <c r="V97" s="72"/>
      <c r="W97" s="72"/>
      <c r="X97" s="72"/>
      <c r="Y97" s="72"/>
      <c r="Z97" s="72"/>
      <c r="AA97" s="54"/>
      <c r="AB97" s="355"/>
      <c r="AC97" s="355"/>
      <c r="AD97" s="355"/>
      <c r="AE97" s="355"/>
    </row>
    <row r="98" spans="1:31" s="216" customFormat="1" ht="11.25" customHeight="1">
      <c r="A98" s="613"/>
      <c r="B98" s="77"/>
      <c r="C98" s="77"/>
      <c r="K98" s="72"/>
      <c r="L98" s="77"/>
      <c r="M98" s="77"/>
      <c r="N98" s="72"/>
      <c r="O98" s="72"/>
      <c r="P98" s="72"/>
      <c r="Q98" s="72"/>
      <c r="R98" s="77"/>
      <c r="S98" s="72"/>
      <c r="T98" s="72"/>
      <c r="U98" s="334"/>
      <c r="V98" s="72"/>
      <c r="W98" s="72"/>
      <c r="X98" s="72"/>
      <c r="Y98" s="72"/>
      <c r="Z98" s="72"/>
      <c r="AA98" s="54"/>
      <c r="AB98" s="355"/>
      <c r="AC98" s="355"/>
      <c r="AD98" s="355"/>
      <c r="AE98" s="355"/>
    </row>
    <row r="99" spans="1:31" s="216" customFormat="1" ht="11.25" customHeight="1">
      <c r="A99" s="613"/>
      <c r="B99" s="77"/>
      <c r="C99" s="77"/>
      <c r="K99" s="72"/>
      <c r="L99" s="77"/>
      <c r="M99" s="77"/>
      <c r="N99" s="72"/>
      <c r="O99" s="72"/>
      <c r="P99" s="72"/>
      <c r="Q99" s="72"/>
      <c r="R99" s="77"/>
      <c r="S99" s="72"/>
      <c r="T99" s="72"/>
      <c r="U99" s="334"/>
      <c r="V99" s="72"/>
      <c r="W99" s="72"/>
      <c r="X99" s="72"/>
      <c r="Y99" s="72"/>
      <c r="Z99" s="72"/>
      <c r="AA99" s="54"/>
      <c r="AB99" s="355"/>
      <c r="AC99" s="355"/>
      <c r="AD99" s="355"/>
      <c r="AE99" s="355"/>
    </row>
    <row r="100" spans="1:31" s="216" customFormat="1" ht="11.25" customHeight="1">
      <c r="A100" s="613"/>
      <c r="B100" s="77"/>
      <c r="C100" s="77"/>
      <c r="K100" s="72"/>
      <c r="L100" s="77"/>
      <c r="M100" s="77"/>
      <c r="N100" s="72"/>
      <c r="O100" s="72"/>
      <c r="P100" s="72"/>
      <c r="Q100" s="72"/>
      <c r="R100" s="77"/>
      <c r="S100" s="72"/>
      <c r="T100" s="72"/>
      <c r="U100" s="334"/>
      <c r="V100" s="72"/>
      <c r="W100" s="72"/>
      <c r="X100" s="72"/>
      <c r="Y100" s="72"/>
      <c r="Z100" s="72"/>
      <c r="AA100" s="54"/>
      <c r="AB100" s="355"/>
      <c r="AC100" s="355"/>
      <c r="AD100" s="355"/>
      <c r="AE100" s="355"/>
    </row>
    <row r="101" spans="1:31" s="216" customFormat="1" ht="11.25" customHeight="1">
      <c r="A101" s="613"/>
      <c r="B101" s="77"/>
      <c r="C101" s="77"/>
      <c r="K101" s="72"/>
      <c r="L101" s="77"/>
      <c r="M101" s="77"/>
      <c r="N101" s="72"/>
      <c r="O101" s="72"/>
      <c r="P101" s="72"/>
      <c r="Q101" s="72"/>
      <c r="R101" s="77"/>
      <c r="S101" s="72"/>
      <c r="T101" s="72"/>
      <c r="U101" s="334"/>
      <c r="V101" s="72"/>
      <c r="W101" s="72"/>
      <c r="X101" s="72"/>
      <c r="Y101" s="72"/>
      <c r="Z101" s="72"/>
      <c r="AA101" s="54"/>
      <c r="AB101" s="355"/>
      <c r="AC101" s="355"/>
      <c r="AD101" s="355"/>
      <c r="AE101" s="355"/>
    </row>
    <row r="102" spans="1:31" s="216" customFormat="1" ht="11.25" customHeight="1">
      <c r="A102" s="613"/>
      <c r="B102" s="77"/>
      <c r="C102" s="77"/>
      <c r="K102" s="72"/>
      <c r="L102" s="77"/>
      <c r="M102" s="77"/>
      <c r="N102" s="72"/>
      <c r="O102" s="72"/>
      <c r="P102" s="72"/>
      <c r="Q102" s="72"/>
      <c r="R102" s="77"/>
      <c r="S102" s="72"/>
      <c r="T102" s="72"/>
      <c r="U102" s="334"/>
      <c r="V102" s="72"/>
      <c r="W102" s="72"/>
      <c r="X102" s="72"/>
      <c r="Y102" s="72"/>
      <c r="Z102" s="72"/>
      <c r="AA102" s="54"/>
      <c r="AB102" s="355"/>
      <c r="AC102" s="355"/>
      <c r="AD102" s="355"/>
      <c r="AE102" s="355"/>
    </row>
    <row r="103" spans="1:31" s="216" customFormat="1" ht="11.25" customHeight="1">
      <c r="A103" s="613"/>
      <c r="B103" s="77"/>
      <c r="C103" s="77"/>
      <c r="K103" s="72"/>
      <c r="L103" s="77"/>
      <c r="M103" s="77"/>
      <c r="N103" s="72"/>
      <c r="O103" s="72"/>
      <c r="P103" s="72"/>
      <c r="Q103" s="72"/>
      <c r="R103" s="77"/>
      <c r="S103" s="72"/>
      <c r="T103" s="72"/>
      <c r="U103" s="334"/>
      <c r="V103" s="72"/>
      <c r="W103" s="72"/>
      <c r="X103" s="72"/>
      <c r="Y103" s="72"/>
      <c r="Z103" s="72"/>
      <c r="AA103" s="54"/>
      <c r="AB103" s="355"/>
      <c r="AC103" s="355"/>
      <c r="AD103" s="355"/>
      <c r="AE103" s="355"/>
    </row>
    <row r="104" spans="1:31" s="216" customFormat="1" ht="11.25" customHeight="1">
      <c r="A104" s="613"/>
      <c r="B104" s="77"/>
      <c r="C104" s="77"/>
      <c r="K104" s="72"/>
      <c r="L104" s="77"/>
      <c r="M104" s="77"/>
      <c r="N104" s="72"/>
      <c r="O104" s="72"/>
      <c r="P104" s="72"/>
      <c r="Q104" s="72"/>
      <c r="R104" s="77"/>
      <c r="S104" s="72"/>
      <c r="T104" s="72"/>
      <c r="U104" s="334"/>
      <c r="V104" s="72"/>
      <c r="W104" s="72"/>
      <c r="X104" s="72"/>
      <c r="Y104" s="72"/>
      <c r="Z104" s="72"/>
      <c r="AA104" s="54"/>
      <c r="AB104" s="355"/>
      <c r="AC104" s="355"/>
      <c r="AD104" s="355"/>
      <c r="AE104" s="355"/>
    </row>
    <row r="105" spans="1:31" s="216" customFormat="1" ht="11.25" customHeight="1">
      <c r="A105" s="613"/>
      <c r="B105" s="77"/>
      <c r="C105" s="77"/>
      <c r="K105" s="72"/>
      <c r="L105" s="77"/>
      <c r="M105" s="77"/>
      <c r="N105" s="72"/>
      <c r="O105" s="72"/>
      <c r="P105" s="72"/>
      <c r="Q105" s="72"/>
      <c r="R105" s="77"/>
      <c r="S105" s="72"/>
      <c r="T105" s="72"/>
      <c r="U105" s="334"/>
      <c r="V105" s="72"/>
      <c r="W105" s="72"/>
      <c r="X105" s="72"/>
      <c r="Y105" s="72"/>
      <c r="Z105" s="72"/>
      <c r="AA105" s="54"/>
      <c r="AB105" s="355"/>
      <c r="AC105" s="355"/>
      <c r="AD105" s="355"/>
      <c r="AE105" s="355"/>
    </row>
    <row r="106" spans="1:31" s="216" customFormat="1" ht="11.25" customHeight="1">
      <c r="A106" s="613"/>
      <c r="B106" s="77"/>
      <c r="C106" s="77"/>
      <c r="K106" s="72"/>
      <c r="L106" s="77"/>
      <c r="M106" s="77"/>
      <c r="N106" s="72"/>
      <c r="O106" s="72"/>
      <c r="P106" s="72"/>
      <c r="Q106" s="72"/>
      <c r="R106" s="77"/>
      <c r="S106" s="72"/>
      <c r="T106" s="72"/>
      <c r="U106" s="334"/>
      <c r="V106" s="72"/>
      <c r="W106" s="72"/>
      <c r="X106" s="72"/>
      <c r="Y106" s="72"/>
      <c r="Z106" s="72"/>
      <c r="AA106" s="54"/>
      <c r="AB106" s="355"/>
      <c r="AC106" s="355"/>
      <c r="AD106" s="355"/>
      <c r="AE106" s="355"/>
    </row>
    <row r="107" spans="1:31" s="216" customFormat="1" ht="11.25" customHeight="1">
      <c r="A107" s="613"/>
      <c r="B107" s="77"/>
      <c r="C107" s="77"/>
      <c r="K107" s="72"/>
      <c r="L107" s="77"/>
      <c r="M107" s="77"/>
      <c r="N107" s="72"/>
      <c r="O107" s="72"/>
      <c r="P107" s="72"/>
      <c r="Q107" s="72"/>
      <c r="R107" s="77"/>
      <c r="S107" s="72"/>
      <c r="T107" s="72"/>
      <c r="U107" s="334"/>
      <c r="V107" s="72"/>
      <c r="W107" s="72"/>
      <c r="X107" s="72"/>
      <c r="Y107" s="72"/>
      <c r="Z107" s="72"/>
      <c r="AA107" s="54"/>
      <c r="AB107" s="355"/>
      <c r="AC107" s="355"/>
      <c r="AD107" s="355"/>
      <c r="AE107" s="355"/>
    </row>
    <row r="108" spans="1:31" s="216" customFormat="1" ht="11.25" customHeight="1">
      <c r="A108" s="613"/>
      <c r="B108" s="77"/>
      <c r="C108" s="77"/>
      <c r="K108" s="72"/>
      <c r="L108" s="77"/>
      <c r="M108" s="77"/>
      <c r="N108" s="72"/>
      <c r="O108" s="72"/>
      <c r="P108" s="72"/>
      <c r="Q108" s="72"/>
      <c r="R108" s="77"/>
      <c r="S108" s="72"/>
      <c r="T108" s="72"/>
      <c r="U108" s="334"/>
      <c r="V108" s="72"/>
      <c r="W108" s="72"/>
      <c r="X108" s="72"/>
      <c r="Y108" s="72"/>
      <c r="Z108" s="72"/>
      <c r="AA108" s="54"/>
      <c r="AB108" s="355"/>
      <c r="AC108" s="355"/>
      <c r="AD108" s="355"/>
      <c r="AE108" s="355"/>
    </row>
    <row r="109" spans="1:31" s="216" customFormat="1" ht="11.25" customHeight="1">
      <c r="A109" s="613"/>
      <c r="B109" s="77"/>
      <c r="C109" s="77"/>
      <c r="K109" s="72"/>
      <c r="L109" s="77"/>
      <c r="M109" s="77"/>
      <c r="N109" s="72"/>
      <c r="O109" s="72"/>
      <c r="P109" s="72"/>
      <c r="Q109" s="72"/>
      <c r="R109" s="77"/>
      <c r="S109" s="72"/>
      <c r="T109" s="72"/>
      <c r="U109" s="334"/>
      <c r="V109" s="72"/>
      <c r="W109" s="72"/>
      <c r="X109" s="72"/>
      <c r="Y109" s="72"/>
      <c r="Z109" s="72"/>
      <c r="AA109" s="54"/>
      <c r="AB109" s="355"/>
      <c r="AC109" s="355"/>
      <c r="AD109" s="355"/>
      <c r="AE109" s="355"/>
    </row>
    <row r="110" spans="1:31" s="216" customFormat="1" ht="11.25" customHeight="1">
      <c r="A110" s="613"/>
      <c r="B110" s="77"/>
      <c r="C110" s="77"/>
      <c r="K110" s="72"/>
      <c r="L110" s="77"/>
      <c r="M110" s="77"/>
      <c r="N110" s="72"/>
      <c r="O110" s="72"/>
      <c r="P110" s="72"/>
      <c r="Q110" s="72"/>
      <c r="R110" s="77"/>
      <c r="S110" s="72"/>
      <c r="T110" s="72"/>
      <c r="U110" s="334"/>
      <c r="V110" s="72"/>
      <c r="W110" s="72"/>
      <c r="X110" s="72"/>
      <c r="Y110" s="72"/>
      <c r="Z110" s="72"/>
      <c r="AA110" s="54"/>
      <c r="AB110" s="355"/>
      <c r="AC110" s="355"/>
      <c r="AD110" s="355"/>
      <c r="AE110" s="355"/>
    </row>
    <row r="111" spans="1:31" s="216" customFormat="1" ht="11.25" customHeight="1">
      <c r="A111" s="613"/>
      <c r="B111" s="77"/>
      <c r="C111" s="77"/>
      <c r="K111" s="72"/>
      <c r="L111" s="77"/>
      <c r="M111" s="77"/>
      <c r="N111" s="72"/>
      <c r="O111" s="72"/>
      <c r="P111" s="72"/>
      <c r="Q111" s="72"/>
      <c r="R111" s="77"/>
      <c r="S111" s="72"/>
      <c r="T111" s="72"/>
      <c r="U111" s="334"/>
      <c r="V111" s="72"/>
      <c r="W111" s="72"/>
      <c r="X111" s="72"/>
      <c r="Y111" s="72"/>
      <c r="Z111" s="72"/>
      <c r="AA111" s="54"/>
      <c r="AB111" s="355"/>
      <c r="AC111" s="355"/>
      <c r="AD111" s="355"/>
      <c r="AE111" s="355"/>
    </row>
    <row r="112" spans="1:31" s="216" customFormat="1" ht="11.25" customHeight="1">
      <c r="A112" s="613"/>
      <c r="B112" s="77"/>
      <c r="C112" s="77"/>
      <c r="K112" s="72"/>
      <c r="L112" s="77"/>
      <c r="M112" s="77"/>
      <c r="N112" s="72"/>
      <c r="O112" s="72"/>
      <c r="P112" s="72"/>
      <c r="Q112" s="72"/>
      <c r="R112" s="77"/>
      <c r="S112" s="72"/>
      <c r="T112" s="72"/>
      <c r="U112" s="334"/>
      <c r="V112" s="72"/>
      <c r="W112" s="72"/>
      <c r="X112" s="72"/>
      <c r="Y112" s="72"/>
      <c r="Z112" s="72"/>
      <c r="AA112" s="54"/>
      <c r="AB112" s="355"/>
      <c r="AC112" s="355"/>
      <c r="AD112" s="355"/>
      <c r="AE112" s="355"/>
    </row>
    <row r="113" spans="1:31" s="216" customFormat="1" ht="11.25" customHeight="1">
      <c r="A113" s="613"/>
      <c r="B113" s="77"/>
      <c r="C113" s="77"/>
      <c r="K113" s="72"/>
      <c r="L113" s="77"/>
      <c r="M113" s="77"/>
      <c r="N113" s="72"/>
      <c r="O113" s="72"/>
      <c r="P113" s="72"/>
      <c r="Q113" s="72"/>
      <c r="R113" s="77"/>
      <c r="S113" s="72"/>
      <c r="T113" s="72"/>
      <c r="U113" s="334"/>
      <c r="V113" s="72"/>
      <c r="W113" s="72"/>
      <c r="X113" s="72"/>
      <c r="Y113" s="72"/>
      <c r="Z113" s="72"/>
      <c r="AA113" s="54"/>
      <c r="AB113" s="355"/>
      <c r="AC113" s="355"/>
      <c r="AD113" s="355"/>
      <c r="AE113" s="355"/>
    </row>
    <row r="114" spans="1:31" s="216" customFormat="1" ht="11.25" customHeight="1">
      <c r="A114" s="613"/>
      <c r="B114" s="77"/>
      <c r="C114" s="77"/>
      <c r="K114" s="72"/>
      <c r="L114" s="77"/>
      <c r="M114" s="77"/>
      <c r="N114" s="72"/>
      <c r="O114" s="72"/>
      <c r="P114" s="72"/>
      <c r="Q114" s="72"/>
      <c r="R114" s="77"/>
      <c r="S114" s="72"/>
      <c r="T114" s="72"/>
      <c r="U114" s="334"/>
      <c r="V114" s="72"/>
      <c r="W114" s="72"/>
      <c r="X114" s="72"/>
      <c r="Y114" s="72"/>
      <c r="Z114" s="72"/>
      <c r="AA114" s="54"/>
      <c r="AB114" s="355"/>
      <c r="AC114" s="355"/>
      <c r="AD114" s="355"/>
      <c r="AE114" s="355"/>
    </row>
    <row r="115" spans="1:31" s="216" customFormat="1" ht="11.25" customHeight="1">
      <c r="A115" s="613"/>
      <c r="B115" s="77"/>
      <c r="C115" s="77"/>
      <c r="K115" s="72"/>
      <c r="L115" s="77"/>
      <c r="M115" s="77"/>
      <c r="N115" s="72"/>
      <c r="O115" s="72"/>
      <c r="P115" s="72"/>
      <c r="Q115" s="72"/>
      <c r="R115" s="77"/>
      <c r="S115" s="72"/>
      <c r="T115" s="72"/>
      <c r="U115" s="334"/>
      <c r="V115" s="72"/>
      <c r="W115" s="72"/>
      <c r="X115" s="72"/>
      <c r="Y115" s="72"/>
      <c r="Z115" s="72"/>
      <c r="AA115" s="54"/>
      <c r="AB115" s="355"/>
      <c r="AC115" s="355"/>
      <c r="AD115" s="355"/>
      <c r="AE115" s="355"/>
    </row>
    <row r="116" spans="1:31" s="216" customFormat="1" ht="11.25" customHeight="1">
      <c r="A116" s="613"/>
      <c r="B116" s="77"/>
      <c r="C116" s="77"/>
      <c r="K116" s="72"/>
      <c r="L116" s="77"/>
      <c r="M116" s="77"/>
      <c r="N116" s="72"/>
      <c r="O116" s="72"/>
      <c r="P116" s="72"/>
      <c r="Q116" s="72"/>
      <c r="R116" s="77"/>
      <c r="S116" s="72"/>
      <c r="T116" s="72"/>
      <c r="U116" s="334"/>
      <c r="V116" s="72"/>
      <c r="W116" s="72"/>
      <c r="X116" s="72"/>
      <c r="Y116" s="72"/>
      <c r="Z116" s="72"/>
      <c r="AA116" s="54"/>
      <c r="AB116" s="355"/>
      <c r="AC116" s="355"/>
      <c r="AD116" s="355"/>
      <c r="AE116" s="355"/>
    </row>
    <row r="117" spans="1:31" s="216" customFormat="1" ht="11.25" customHeight="1">
      <c r="A117" s="613"/>
      <c r="B117" s="77"/>
      <c r="C117" s="77"/>
      <c r="K117" s="72"/>
      <c r="L117" s="77"/>
      <c r="M117" s="77"/>
      <c r="N117" s="72"/>
      <c r="O117" s="72"/>
      <c r="P117" s="72"/>
      <c r="Q117" s="72"/>
      <c r="R117" s="77"/>
      <c r="S117" s="72"/>
      <c r="T117" s="72"/>
      <c r="U117" s="334"/>
      <c r="V117" s="72"/>
      <c r="W117" s="72"/>
      <c r="X117" s="72"/>
      <c r="Y117" s="72"/>
      <c r="Z117" s="72"/>
      <c r="AA117" s="54"/>
      <c r="AB117" s="355"/>
      <c r="AC117" s="355"/>
      <c r="AD117" s="355"/>
      <c r="AE117" s="355"/>
    </row>
    <row r="118" spans="1:31" s="216" customFormat="1" ht="11.25" customHeight="1">
      <c r="A118" s="613"/>
      <c r="B118" s="77"/>
      <c r="C118" s="77"/>
      <c r="K118" s="72"/>
      <c r="L118" s="77"/>
      <c r="M118" s="77"/>
      <c r="N118" s="72"/>
      <c r="O118" s="72"/>
      <c r="P118" s="72"/>
      <c r="Q118" s="72"/>
      <c r="R118" s="77"/>
      <c r="S118" s="72"/>
      <c r="T118" s="72"/>
      <c r="U118" s="334"/>
      <c r="V118" s="72"/>
      <c r="W118" s="72"/>
      <c r="X118" s="72"/>
      <c r="Y118" s="72"/>
      <c r="Z118" s="72"/>
      <c r="AA118" s="54"/>
      <c r="AB118" s="355"/>
      <c r="AC118" s="355"/>
      <c r="AD118" s="355"/>
      <c r="AE118" s="355"/>
    </row>
    <row r="119" spans="1:31" s="216" customFormat="1" ht="11.25" customHeight="1">
      <c r="A119" s="613"/>
      <c r="B119" s="77"/>
      <c r="C119" s="77"/>
      <c r="K119" s="72"/>
      <c r="L119" s="77"/>
      <c r="M119" s="77"/>
      <c r="N119" s="72"/>
      <c r="O119" s="72"/>
      <c r="P119" s="72"/>
      <c r="Q119" s="72"/>
      <c r="R119" s="77"/>
      <c r="S119" s="72"/>
      <c r="T119" s="72"/>
      <c r="U119" s="334"/>
      <c r="V119" s="72"/>
      <c r="W119" s="72"/>
      <c r="X119" s="72"/>
      <c r="Y119" s="72"/>
      <c r="Z119" s="72"/>
      <c r="AA119" s="54"/>
      <c r="AB119" s="355"/>
      <c r="AC119" s="355"/>
      <c r="AD119" s="355"/>
      <c r="AE119" s="355"/>
    </row>
    <row r="120" spans="1:31" s="216" customFormat="1" ht="11.25" customHeight="1">
      <c r="A120" s="613"/>
      <c r="B120" s="77"/>
      <c r="C120" s="77"/>
      <c r="K120" s="72"/>
      <c r="L120" s="77"/>
      <c r="M120" s="77"/>
      <c r="N120" s="72"/>
      <c r="O120" s="72"/>
      <c r="P120" s="72"/>
      <c r="Q120" s="72"/>
      <c r="R120" s="77"/>
      <c r="S120" s="72"/>
      <c r="T120" s="72"/>
      <c r="U120" s="334"/>
      <c r="V120" s="72"/>
      <c r="W120" s="72"/>
      <c r="X120" s="72"/>
      <c r="Y120" s="72"/>
      <c r="Z120" s="72"/>
      <c r="AA120" s="54"/>
      <c r="AB120" s="355"/>
      <c r="AC120" s="355"/>
      <c r="AD120" s="355"/>
      <c r="AE120" s="355"/>
    </row>
    <row r="121" spans="1:31" s="216" customFormat="1" ht="11.25" customHeight="1">
      <c r="A121" s="613"/>
      <c r="B121" s="77"/>
      <c r="C121" s="77"/>
      <c r="K121" s="72"/>
      <c r="L121" s="77"/>
      <c r="M121" s="77"/>
      <c r="N121" s="72"/>
      <c r="O121" s="72"/>
      <c r="P121" s="72"/>
      <c r="Q121" s="72"/>
      <c r="R121" s="77"/>
      <c r="S121" s="72"/>
      <c r="T121" s="72"/>
      <c r="U121" s="334"/>
      <c r="V121" s="72"/>
      <c r="W121" s="72"/>
      <c r="X121" s="72"/>
      <c r="Y121" s="72"/>
      <c r="Z121" s="72"/>
      <c r="AA121" s="54"/>
      <c r="AB121" s="355"/>
      <c r="AC121" s="355"/>
      <c r="AD121" s="355"/>
      <c r="AE121" s="355"/>
    </row>
    <row r="122" spans="1:31" s="216" customFormat="1" ht="11.25" customHeight="1">
      <c r="A122" s="613"/>
      <c r="B122" s="77"/>
      <c r="C122" s="77"/>
      <c r="K122" s="72"/>
      <c r="L122" s="77"/>
      <c r="M122" s="77"/>
      <c r="N122" s="72"/>
      <c r="O122" s="72"/>
      <c r="P122" s="72"/>
      <c r="Q122" s="72"/>
      <c r="R122" s="77"/>
      <c r="S122" s="72"/>
      <c r="T122" s="72"/>
      <c r="U122" s="334"/>
      <c r="V122" s="72"/>
      <c r="W122" s="72"/>
      <c r="X122" s="72"/>
      <c r="Y122" s="72"/>
      <c r="Z122" s="72"/>
      <c r="AA122" s="54"/>
      <c r="AB122" s="355"/>
      <c r="AC122" s="355"/>
      <c r="AD122" s="355"/>
      <c r="AE122" s="355"/>
    </row>
    <row r="123" spans="1:31" s="216" customFormat="1" ht="11.25" customHeight="1">
      <c r="A123" s="613"/>
      <c r="B123" s="77"/>
      <c r="C123" s="77"/>
      <c r="K123" s="72"/>
      <c r="L123" s="77"/>
      <c r="M123" s="77"/>
      <c r="N123" s="72"/>
      <c r="O123" s="72"/>
      <c r="P123" s="72"/>
      <c r="Q123" s="72"/>
      <c r="R123" s="77"/>
      <c r="S123" s="72"/>
      <c r="T123" s="72"/>
      <c r="U123" s="334"/>
      <c r="V123" s="72"/>
      <c r="W123" s="72"/>
      <c r="X123" s="72"/>
      <c r="Y123" s="72"/>
      <c r="Z123" s="72"/>
      <c r="AA123" s="54"/>
      <c r="AB123" s="355"/>
      <c r="AC123" s="355"/>
      <c r="AD123" s="355"/>
      <c r="AE123" s="355"/>
    </row>
    <row r="124" spans="1:31" s="216" customFormat="1" ht="11.25" customHeight="1">
      <c r="A124" s="613"/>
      <c r="B124" s="77"/>
      <c r="C124" s="77"/>
      <c r="K124" s="72"/>
      <c r="L124" s="77"/>
      <c r="M124" s="77"/>
      <c r="N124" s="72"/>
      <c r="O124" s="72"/>
      <c r="P124" s="72"/>
      <c r="Q124" s="72"/>
      <c r="R124" s="77"/>
      <c r="S124" s="72"/>
      <c r="T124" s="72"/>
      <c r="U124" s="334"/>
      <c r="V124" s="72"/>
      <c r="W124" s="72"/>
      <c r="X124" s="72"/>
      <c r="Y124" s="72"/>
      <c r="Z124" s="72"/>
      <c r="AA124" s="54"/>
      <c r="AB124" s="355"/>
      <c r="AC124" s="355"/>
      <c r="AD124" s="355"/>
      <c r="AE124" s="355"/>
    </row>
    <row r="125" spans="1:31" s="216" customFormat="1" ht="11.25" customHeight="1">
      <c r="A125" s="613"/>
      <c r="B125" s="77"/>
      <c r="C125" s="77"/>
      <c r="K125" s="72"/>
      <c r="L125" s="77"/>
      <c r="M125" s="77"/>
      <c r="N125" s="72"/>
      <c r="O125" s="72"/>
      <c r="P125" s="72"/>
      <c r="Q125" s="72"/>
      <c r="R125" s="77"/>
      <c r="S125" s="72"/>
      <c r="T125" s="72"/>
      <c r="U125" s="334"/>
      <c r="V125" s="72"/>
      <c r="W125" s="72"/>
      <c r="X125" s="72"/>
      <c r="Y125" s="72"/>
      <c r="Z125" s="72"/>
      <c r="AA125" s="54"/>
      <c r="AB125" s="355"/>
      <c r="AC125" s="355"/>
      <c r="AD125" s="355"/>
      <c r="AE125" s="355"/>
    </row>
    <row r="126" spans="1:31" s="216" customFormat="1" ht="11.25" customHeight="1">
      <c r="A126" s="613"/>
      <c r="B126" s="77"/>
      <c r="C126" s="77"/>
      <c r="K126" s="72"/>
      <c r="L126" s="77"/>
      <c r="M126" s="77"/>
      <c r="N126" s="72"/>
      <c r="O126" s="72"/>
      <c r="P126" s="72"/>
      <c r="Q126" s="72"/>
      <c r="R126" s="77"/>
      <c r="S126" s="72"/>
      <c r="T126" s="72"/>
      <c r="U126" s="334"/>
      <c r="V126" s="72"/>
      <c r="W126" s="72"/>
      <c r="X126" s="72"/>
      <c r="Y126" s="72"/>
      <c r="Z126" s="72"/>
      <c r="AA126" s="54"/>
      <c r="AB126" s="355"/>
      <c r="AC126" s="355"/>
      <c r="AD126" s="355"/>
      <c r="AE126" s="355"/>
    </row>
    <row r="127" spans="1:31" s="216" customFormat="1" ht="11.25" customHeight="1">
      <c r="A127" s="613"/>
      <c r="B127" s="77"/>
      <c r="C127" s="77"/>
      <c r="K127" s="72"/>
      <c r="L127" s="77"/>
      <c r="M127" s="77"/>
      <c r="N127" s="72"/>
      <c r="O127" s="72"/>
      <c r="P127" s="72"/>
      <c r="Q127" s="72"/>
      <c r="R127" s="77"/>
      <c r="S127" s="72"/>
      <c r="T127" s="72"/>
      <c r="U127" s="334"/>
      <c r="V127" s="72"/>
      <c r="W127" s="72"/>
      <c r="X127" s="72"/>
      <c r="Y127" s="72"/>
      <c r="Z127" s="72"/>
      <c r="AA127" s="54"/>
      <c r="AB127" s="355"/>
      <c r="AC127" s="355"/>
      <c r="AD127" s="355"/>
      <c r="AE127" s="355"/>
    </row>
    <row r="128" spans="1:31" s="216" customFormat="1" ht="11.25" customHeight="1">
      <c r="A128" s="613"/>
      <c r="B128" s="77"/>
      <c r="C128" s="77"/>
      <c r="K128" s="72"/>
      <c r="L128" s="77"/>
      <c r="M128" s="77"/>
      <c r="N128" s="72"/>
      <c r="O128" s="72"/>
      <c r="P128" s="72"/>
      <c r="Q128" s="72"/>
      <c r="R128" s="77"/>
      <c r="S128" s="72"/>
      <c r="T128" s="72"/>
      <c r="U128" s="334"/>
      <c r="V128" s="72"/>
      <c r="W128" s="72"/>
      <c r="X128" s="72"/>
      <c r="Y128" s="72"/>
      <c r="Z128" s="72"/>
      <c r="AA128" s="54"/>
      <c r="AB128" s="355"/>
      <c r="AC128" s="355"/>
      <c r="AD128" s="355"/>
      <c r="AE128" s="355"/>
    </row>
    <row r="129" spans="1:31" s="216" customFormat="1" ht="11.25" customHeight="1">
      <c r="A129" s="613"/>
      <c r="B129" s="77"/>
      <c r="C129" s="77"/>
      <c r="K129" s="72"/>
      <c r="L129" s="77"/>
      <c r="M129" s="77"/>
      <c r="N129" s="72"/>
      <c r="O129" s="72"/>
      <c r="P129" s="72"/>
      <c r="Q129" s="72"/>
      <c r="R129" s="77"/>
      <c r="S129" s="72"/>
      <c r="T129" s="72"/>
      <c r="U129" s="334"/>
      <c r="V129" s="72"/>
      <c r="W129" s="72"/>
      <c r="X129" s="72"/>
      <c r="Y129" s="72"/>
      <c r="Z129" s="72"/>
      <c r="AA129" s="54"/>
      <c r="AB129" s="355"/>
      <c r="AC129" s="355"/>
      <c r="AD129" s="355"/>
      <c r="AE129" s="355"/>
    </row>
    <row r="130" spans="1:31" s="216" customFormat="1" ht="11.25" customHeight="1">
      <c r="A130" s="613"/>
      <c r="B130" s="77"/>
      <c r="C130" s="77"/>
      <c r="K130" s="72"/>
      <c r="L130" s="77"/>
      <c r="M130" s="77"/>
      <c r="N130" s="72"/>
      <c r="O130" s="72"/>
      <c r="P130" s="72"/>
      <c r="Q130" s="72"/>
      <c r="R130" s="77"/>
      <c r="S130" s="72"/>
      <c r="T130" s="72"/>
      <c r="U130" s="334"/>
      <c r="V130" s="72"/>
      <c r="W130" s="72"/>
      <c r="X130" s="72"/>
      <c r="Y130" s="72"/>
      <c r="Z130" s="72"/>
      <c r="AA130" s="54"/>
      <c r="AB130" s="355"/>
      <c r="AC130" s="355"/>
      <c r="AD130" s="355"/>
      <c r="AE130" s="355"/>
    </row>
    <row r="131" spans="1:31" s="216" customFormat="1" ht="11.25" customHeight="1">
      <c r="A131" s="613"/>
      <c r="B131" s="77"/>
      <c r="C131" s="77"/>
      <c r="K131" s="72"/>
      <c r="L131" s="77"/>
      <c r="M131" s="77"/>
      <c r="N131" s="72"/>
      <c r="O131" s="72"/>
      <c r="P131" s="72"/>
      <c r="Q131" s="72"/>
      <c r="R131" s="77"/>
      <c r="S131" s="72"/>
      <c r="T131" s="72"/>
      <c r="U131" s="334"/>
      <c r="V131" s="72"/>
      <c r="W131" s="72"/>
      <c r="X131" s="72"/>
      <c r="Y131" s="72"/>
      <c r="Z131" s="72"/>
      <c r="AA131" s="54"/>
      <c r="AB131" s="355"/>
      <c r="AC131" s="355"/>
      <c r="AD131" s="355"/>
      <c r="AE131" s="355"/>
    </row>
    <row r="132" spans="1:31" s="216" customFormat="1" ht="11.25" customHeight="1">
      <c r="A132" s="613"/>
      <c r="B132" s="77"/>
      <c r="C132" s="77"/>
      <c r="K132" s="72"/>
      <c r="L132" s="77"/>
      <c r="M132" s="77"/>
      <c r="N132" s="72"/>
      <c r="O132" s="72"/>
      <c r="P132" s="72"/>
      <c r="Q132" s="72"/>
      <c r="R132" s="77"/>
      <c r="S132" s="72"/>
      <c r="T132" s="72"/>
      <c r="U132" s="334"/>
      <c r="V132" s="72"/>
      <c r="W132" s="72"/>
      <c r="X132" s="72"/>
      <c r="Y132" s="72"/>
      <c r="Z132" s="72"/>
      <c r="AA132" s="54"/>
      <c r="AB132" s="355"/>
      <c r="AC132" s="355"/>
      <c r="AD132" s="355"/>
      <c r="AE132" s="355"/>
    </row>
    <row r="133" spans="1:31" s="216" customFormat="1" ht="11.25" customHeight="1">
      <c r="A133" s="613"/>
      <c r="B133" s="77"/>
      <c r="C133" s="77"/>
      <c r="K133" s="72"/>
      <c r="L133" s="77"/>
      <c r="M133" s="77"/>
      <c r="N133" s="72"/>
      <c r="O133" s="72"/>
      <c r="P133" s="72"/>
      <c r="Q133" s="72"/>
      <c r="R133" s="77"/>
      <c r="S133" s="72"/>
      <c r="T133" s="72"/>
      <c r="U133" s="334"/>
      <c r="V133" s="72"/>
      <c r="W133" s="72"/>
      <c r="X133" s="72"/>
      <c r="Y133" s="72"/>
      <c r="Z133" s="72"/>
      <c r="AA133" s="54"/>
      <c r="AB133" s="355"/>
      <c r="AC133" s="355"/>
      <c r="AD133" s="355"/>
      <c r="AE133" s="355"/>
    </row>
    <row r="134" spans="1:31" s="216" customFormat="1" ht="11.25" customHeight="1">
      <c r="A134" s="613"/>
      <c r="B134" s="77"/>
      <c r="C134" s="77"/>
      <c r="K134" s="72"/>
      <c r="L134" s="77"/>
      <c r="M134" s="77"/>
      <c r="N134" s="72"/>
      <c r="O134" s="72"/>
      <c r="P134" s="72"/>
      <c r="Q134" s="72"/>
      <c r="R134" s="77"/>
      <c r="S134" s="72"/>
      <c r="T134" s="72"/>
      <c r="U134" s="334"/>
      <c r="V134" s="72"/>
      <c r="W134" s="72"/>
      <c r="X134" s="72"/>
      <c r="Y134" s="72"/>
      <c r="Z134" s="72"/>
      <c r="AA134" s="54"/>
      <c r="AB134" s="355"/>
      <c r="AC134" s="355"/>
      <c r="AD134" s="355"/>
      <c r="AE134" s="355"/>
    </row>
    <row r="135" spans="1:31" s="216" customFormat="1" ht="11.25" customHeight="1">
      <c r="A135" s="613"/>
      <c r="B135" s="77"/>
      <c r="C135" s="77"/>
      <c r="K135" s="72"/>
      <c r="L135" s="77"/>
      <c r="M135" s="77"/>
      <c r="N135" s="72"/>
      <c r="O135" s="72"/>
      <c r="P135" s="72"/>
      <c r="Q135" s="72"/>
      <c r="R135" s="77"/>
      <c r="S135" s="72"/>
      <c r="T135" s="72"/>
      <c r="U135" s="334"/>
      <c r="V135" s="72"/>
      <c r="W135" s="72"/>
      <c r="X135" s="72"/>
      <c r="Y135" s="72"/>
      <c r="Z135" s="72"/>
      <c r="AA135" s="54"/>
      <c r="AB135" s="355"/>
      <c r="AC135" s="355"/>
      <c r="AD135" s="355"/>
      <c r="AE135" s="355"/>
    </row>
    <row r="136" spans="1:31" s="216" customFormat="1" ht="11.25" customHeight="1">
      <c r="A136" s="613"/>
      <c r="B136" s="77"/>
      <c r="C136" s="77"/>
      <c r="K136" s="72"/>
      <c r="L136" s="77"/>
      <c r="M136" s="77"/>
      <c r="N136" s="72"/>
      <c r="O136" s="72"/>
      <c r="P136" s="72"/>
      <c r="Q136" s="72"/>
      <c r="R136" s="77"/>
      <c r="S136" s="72"/>
      <c r="T136" s="72"/>
      <c r="U136" s="334"/>
      <c r="V136" s="72"/>
      <c r="W136" s="72"/>
      <c r="X136" s="72"/>
      <c r="Y136" s="72"/>
      <c r="Z136" s="72"/>
      <c r="AA136" s="54"/>
      <c r="AB136" s="355"/>
      <c r="AC136" s="355"/>
      <c r="AD136" s="355"/>
      <c r="AE136" s="355"/>
    </row>
    <row r="137" spans="1:31" s="216" customFormat="1" ht="11.25" customHeight="1">
      <c r="A137" s="613"/>
      <c r="B137" s="77"/>
      <c r="C137" s="77"/>
      <c r="K137" s="72"/>
      <c r="L137" s="77"/>
      <c r="M137" s="77"/>
      <c r="N137" s="72"/>
      <c r="O137" s="72"/>
      <c r="P137" s="72"/>
      <c r="Q137" s="72"/>
      <c r="R137" s="77"/>
      <c r="S137" s="72"/>
      <c r="T137" s="72"/>
      <c r="U137" s="334"/>
      <c r="V137" s="72"/>
      <c r="W137" s="72"/>
      <c r="X137" s="72"/>
      <c r="Y137" s="72"/>
      <c r="Z137" s="72"/>
      <c r="AA137" s="54"/>
      <c r="AB137" s="355"/>
      <c r="AC137" s="355"/>
      <c r="AD137" s="355"/>
      <c r="AE137" s="355"/>
    </row>
    <row r="138" spans="1:31" s="216" customFormat="1" ht="11.25" customHeight="1">
      <c r="A138" s="613"/>
      <c r="B138" s="77"/>
      <c r="C138" s="77"/>
      <c r="K138" s="72"/>
      <c r="L138" s="77"/>
      <c r="M138" s="77"/>
      <c r="N138" s="72"/>
      <c r="O138" s="72"/>
      <c r="P138" s="72"/>
      <c r="Q138" s="72"/>
      <c r="R138" s="77"/>
      <c r="S138" s="72"/>
      <c r="T138" s="72"/>
      <c r="U138" s="334"/>
      <c r="V138" s="72"/>
      <c r="W138" s="72"/>
      <c r="X138" s="72"/>
      <c r="Y138" s="72"/>
      <c r="Z138" s="72"/>
      <c r="AA138" s="54"/>
      <c r="AB138" s="355"/>
      <c r="AC138" s="355"/>
      <c r="AD138" s="355"/>
      <c r="AE138" s="355"/>
    </row>
    <row r="139" spans="1:31" s="216" customFormat="1" ht="11.25" customHeight="1">
      <c r="A139" s="613"/>
      <c r="B139" s="77"/>
      <c r="C139" s="77"/>
      <c r="K139" s="72"/>
      <c r="L139" s="77"/>
      <c r="M139" s="77"/>
      <c r="N139" s="72"/>
      <c r="O139" s="72"/>
      <c r="P139" s="72"/>
      <c r="Q139" s="72"/>
      <c r="R139" s="77"/>
      <c r="S139" s="72"/>
      <c r="T139" s="72"/>
      <c r="U139" s="334"/>
      <c r="V139" s="72"/>
      <c r="W139" s="72"/>
      <c r="X139" s="72"/>
      <c r="Y139" s="72"/>
      <c r="Z139" s="72"/>
      <c r="AA139" s="54"/>
      <c r="AB139" s="355"/>
      <c r="AC139" s="355"/>
      <c r="AD139" s="355"/>
      <c r="AE139" s="355"/>
    </row>
    <row r="140" spans="1:31" s="216" customFormat="1" ht="11.25" customHeight="1">
      <c r="A140" s="613"/>
      <c r="B140" s="77"/>
      <c r="C140" s="77"/>
      <c r="K140" s="72"/>
      <c r="L140" s="77"/>
      <c r="M140" s="77"/>
      <c r="N140" s="72"/>
      <c r="O140" s="72"/>
      <c r="P140" s="72"/>
      <c r="Q140" s="72"/>
      <c r="R140" s="77"/>
      <c r="S140" s="72"/>
      <c r="T140" s="72"/>
      <c r="U140" s="334"/>
      <c r="V140" s="72"/>
      <c r="W140" s="72"/>
      <c r="X140" s="72"/>
      <c r="Y140" s="72"/>
      <c r="Z140" s="72"/>
      <c r="AA140" s="54"/>
      <c r="AB140" s="355"/>
      <c r="AC140" s="355"/>
      <c r="AD140" s="355"/>
      <c r="AE140" s="355"/>
    </row>
    <row r="141" spans="1:31" s="216" customFormat="1" ht="11.25" customHeight="1">
      <c r="A141" s="613"/>
      <c r="B141" s="77"/>
      <c r="C141" s="77"/>
      <c r="K141" s="72"/>
      <c r="L141" s="77"/>
      <c r="M141" s="77"/>
      <c r="N141" s="72"/>
      <c r="O141" s="72"/>
      <c r="P141" s="72"/>
      <c r="Q141" s="72"/>
      <c r="R141" s="77"/>
      <c r="S141" s="72"/>
      <c r="T141" s="72"/>
      <c r="U141" s="334"/>
      <c r="V141" s="72"/>
      <c r="W141" s="72"/>
      <c r="X141" s="72"/>
      <c r="Y141" s="72"/>
      <c r="Z141" s="72"/>
      <c r="AA141" s="54"/>
      <c r="AB141" s="355"/>
      <c r="AC141" s="355"/>
      <c r="AD141" s="355"/>
      <c r="AE141" s="355"/>
    </row>
    <row r="142" spans="1:31" s="216" customFormat="1" ht="11.25" customHeight="1">
      <c r="A142" s="613"/>
      <c r="B142" s="77"/>
      <c r="C142" s="77"/>
      <c r="K142" s="72"/>
      <c r="L142" s="77"/>
      <c r="M142" s="77"/>
      <c r="N142" s="72"/>
      <c r="O142" s="72"/>
      <c r="P142" s="72"/>
      <c r="Q142" s="72"/>
      <c r="R142" s="77"/>
      <c r="S142" s="72"/>
      <c r="T142" s="72"/>
      <c r="U142" s="334"/>
      <c r="V142" s="72"/>
      <c r="W142" s="72"/>
      <c r="X142" s="72"/>
      <c r="Y142" s="72"/>
      <c r="Z142" s="72"/>
      <c r="AA142" s="54"/>
      <c r="AB142" s="355"/>
      <c r="AC142" s="355"/>
      <c r="AD142" s="355"/>
      <c r="AE142" s="355"/>
    </row>
    <row r="143" spans="1:31" s="216" customFormat="1" ht="11.25" customHeight="1">
      <c r="A143" s="613"/>
      <c r="B143" s="77"/>
      <c r="C143" s="77"/>
      <c r="K143" s="72"/>
      <c r="L143" s="77"/>
      <c r="M143" s="77"/>
      <c r="N143" s="72"/>
      <c r="O143" s="72"/>
      <c r="P143" s="72"/>
      <c r="Q143" s="72"/>
      <c r="R143" s="77"/>
      <c r="S143" s="72"/>
      <c r="T143" s="72"/>
      <c r="U143" s="334"/>
      <c r="V143" s="72"/>
      <c r="W143" s="72"/>
      <c r="X143" s="72"/>
      <c r="Y143" s="72"/>
      <c r="Z143" s="72"/>
      <c r="AA143" s="54"/>
      <c r="AB143" s="355"/>
      <c r="AC143" s="355"/>
      <c r="AD143" s="355"/>
      <c r="AE143" s="355"/>
    </row>
    <row r="144" spans="1:31" s="216" customFormat="1" ht="11.25" customHeight="1">
      <c r="A144" s="613"/>
      <c r="B144" s="77"/>
      <c r="C144" s="77"/>
      <c r="K144" s="72"/>
      <c r="L144" s="77"/>
      <c r="M144" s="77"/>
      <c r="N144" s="72"/>
      <c r="O144" s="72"/>
      <c r="P144" s="72"/>
      <c r="Q144" s="72"/>
      <c r="R144" s="77"/>
      <c r="S144" s="72"/>
      <c r="T144" s="72"/>
      <c r="U144" s="334"/>
      <c r="V144" s="72"/>
      <c r="W144" s="72"/>
      <c r="X144" s="72"/>
      <c r="Y144" s="72"/>
      <c r="Z144" s="72"/>
      <c r="AA144" s="54"/>
      <c r="AB144" s="355"/>
      <c r="AC144" s="355"/>
      <c r="AD144" s="355"/>
      <c r="AE144" s="355"/>
    </row>
    <row r="145" spans="1:31" s="216" customFormat="1" ht="11.25" customHeight="1">
      <c r="A145" s="613"/>
      <c r="B145" s="77"/>
      <c r="C145" s="77"/>
      <c r="K145" s="72"/>
      <c r="L145" s="77"/>
      <c r="M145" s="77"/>
      <c r="N145" s="72"/>
      <c r="O145" s="72"/>
      <c r="P145" s="72"/>
      <c r="Q145" s="72"/>
      <c r="R145" s="77"/>
      <c r="S145" s="72"/>
      <c r="T145" s="72"/>
      <c r="U145" s="334"/>
      <c r="V145" s="72"/>
      <c r="W145" s="72"/>
      <c r="X145" s="72"/>
      <c r="Y145" s="72"/>
      <c r="Z145" s="72"/>
      <c r="AA145" s="54"/>
      <c r="AB145" s="355"/>
      <c r="AC145" s="355"/>
      <c r="AD145" s="355"/>
      <c r="AE145" s="355"/>
    </row>
    <row r="146" spans="1:31" s="216" customFormat="1" ht="11.25" customHeight="1">
      <c r="A146" s="613"/>
      <c r="B146" s="77"/>
      <c r="C146" s="77"/>
      <c r="K146" s="72"/>
      <c r="L146" s="77"/>
      <c r="M146" s="77"/>
      <c r="N146" s="72"/>
      <c r="O146" s="72"/>
      <c r="P146" s="72"/>
      <c r="Q146" s="72"/>
      <c r="R146" s="77"/>
      <c r="S146" s="72"/>
      <c r="T146" s="72"/>
      <c r="U146" s="334"/>
      <c r="V146" s="72"/>
      <c r="W146" s="72"/>
      <c r="X146" s="72"/>
      <c r="Y146" s="72"/>
      <c r="Z146" s="72"/>
      <c r="AA146" s="54"/>
      <c r="AB146" s="355"/>
      <c r="AC146" s="355"/>
      <c r="AD146" s="355"/>
      <c r="AE146" s="355"/>
    </row>
    <row r="147" spans="1:31" s="216" customFormat="1" ht="11.25" customHeight="1">
      <c r="A147" s="613"/>
      <c r="B147" s="77"/>
      <c r="C147" s="77"/>
      <c r="K147" s="72"/>
      <c r="L147" s="77"/>
      <c r="M147" s="77"/>
      <c r="N147" s="72"/>
      <c r="O147" s="72"/>
      <c r="P147" s="72"/>
      <c r="Q147" s="72"/>
      <c r="R147" s="77"/>
      <c r="S147" s="72"/>
      <c r="T147" s="72"/>
      <c r="U147" s="334"/>
      <c r="V147" s="72"/>
      <c r="W147" s="72"/>
      <c r="X147" s="72"/>
      <c r="Y147" s="72"/>
      <c r="Z147" s="72"/>
      <c r="AA147" s="54"/>
      <c r="AB147" s="355"/>
      <c r="AC147" s="355"/>
      <c r="AD147" s="355"/>
      <c r="AE147" s="355"/>
    </row>
    <row r="148" spans="1:31" s="216" customFormat="1" ht="11.25" customHeight="1">
      <c r="A148" s="613"/>
      <c r="B148" s="77"/>
      <c r="C148" s="77"/>
      <c r="K148" s="72"/>
      <c r="L148" s="77"/>
      <c r="M148" s="77"/>
      <c r="N148" s="72"/>
      <c r="O148" s="72"/>
      <c r="P148" s="72"/>
      <c r="Q148" s="72"/>
      <c r="R148" s="77"/>
      <c r="S148" s="72"/>
      <c r="T148" s="72"/>
      <c r="U148" s="334"/>
      <c r="V148" s="72"/>
      <c r="W148" s="72"/>
      <c r="X148" s="72"/>
      <c r="Y148" s="72"/>
      <c r="Z148" s="72"/>
      <c r="AA148" s="54"/>
      <c r="AB148" s="355"/>
      <c r="AC148" s="355"/>
      <c r="AD148" s="355"/>
      <c r="AE148" s="355"/>
    </row>
    <row r="149" spans="1:31" s="216" customFormat="1" ht="11.25" customHeight="1">
      <c r="A149" s="613"/>
      <c r="B149" s="77"/>
      <c r="C149" s="77"/>
      <c r="K149" s="72"/>
      <c r="L149" s="77"/>
      <c r="M149" s="77"/>
      <c r="N149" s="72"/>
      <c r="O149" s="72"/>
      <c r="P149" s="72"/>
      <c r="Q149" s="72"/>
      <c r="R149" s="77"/>
      <c r="S149" s="72"/>
      <c r="T149" s="72"/>
      <c r="U149" s="334"/>
      <c r="V149" s="72"/>
      <c r="W149" s="72"/>
      <c r="X149" s="72"/>
      <c r="Y149" s="72"/>
      <c r="Z149" s="72"/>
      <c r="AA149" s="54"/>
      <c r="AB149" s="355"/>
      <c r="AC149" s="355"/>
      <c r="AD149" s="355"/>
      <c r="AE149" s="355"/>
    </row>
    <row r="150" spans="1:31" s="216" customFormat="1" ht="11.25" customHeight="1">
      <c r="A150" s="613"/>
      <c r="B150" s="77"/>
      <c r="C150" s="77"/>
      <c r="K150" s="72"/>
      <c r="L150" s="77"/>
      <c r="M150" s="77"/>
      <c r="N150" s="72"/>
      <c r="O150" s="72"/>
      <c r="P150" s="72"/>
      <c r="Q150" s="72"/>
      <c r="R150" s="77"/>
      <c r="S150" s="72"/>
      <c r="T150" s="72"/>
      <c r="U150" s="334"/>
      <c r="V150" s="72"/>
      <c r="W150" s="72"/>
      <c r="X150" s="72"/>
      <c r="Y150" s="72"/>
      <c r="Z150" s="72"/>
      <c r="AA150" s="54"/>
      <c r="AB150" s="355"/>
      <c r="AC150" s="355"/>
      <c r="AD150" s="355"/>
      <c r="AE150" s="355"/>
    </row>
    <row r="151" spans="1:31" s="216" customFormat="1" ht="11.25" customHeight="1">
      <c r="A151" s="613"/>
      <c r="B151" s="77"/>
      <c r="C151" s="77"/>
      <c r="K151" s="72"/>
      <c r="L151" s="77"/>
      <c r="M151" s="77"/>
      <c r="N151" s="72"/>
      <c r="O151" s="72"/>
      <c r="P151" s="72"/>
      <c r="Q151" s="72"/>
      <c r="R151" s="77"/>
      <c r="S151" s="72"/>
      <c r="T151" s="72"/>
      <c r="U151" s="334"/>
      <c r="V151" s="72"/>
      <c r="W151" s="72"/>
      <c r="X151" s="72"/>
      <c r="Y151" s="72"/>
      <c r="Z151" s="72"/>
      <c r="AA151" s="54"/>
      <c r="AB151" s="355"/>
      <c r="AC151" s="355"/>
      <c r="AD151" s="355"/>
      <c r="AE151" s="355"/>
    </row>
    <row r="152" spans="1:31" s="216" customFormat="1" ht="11.25" customHeight="1">
      <c r="A152" s="613"/>
      <c r="B152" s="77"/>
      <c r="C152" s="77"/>
      <c r="K152" s="72"/>
      <c r="L152" s="77"/>
      <c r="M152" s="77"/>
      <c r="N152" s="72"/>
      <c r="O152" s="72"/>
      <c r="P152" s="72"/>
      <c r="Q152" s="72"/>
      <c r="R152" s="77"/>
      <c r="S152" s="72"/>
      <c r="T152" s="72"/>
      <c r="U152" s="334"/>
      <c r="V152" s="72"/>
      <c r="W152" s="72"/>
      <c r="X152" s="72"/>
      <c r="Y152" s="72"/>
      <c r="Z152" s="72"/>
      <c r="AA152" s="54"/>
      <c r="AB152" s="355"/>
      <c r="AC152" s="355"/>
      <c r="AD152" s="355"/>
      <c r="AE152" s="355"/>
    </row>
    <row r="153" spans="1:31" s="216" customFormat="1" ht="11.25" customHeight="1">
      <c r="A153" s="613"/>
      <c r="B153" s="77"/>
      <c r="C153" s="77"/>
      <c r="K153" s="72"/>
      <c r="L153" s="77"/>
      <c r="M153" s="77"/>
      <c r="N153" s="72"/>
      <c r="O153" s="72"/>
      <c r="P153" s="72"/>
      <c r="Q153" s="72"/>
      <c r="R153" s="77"/>
      <c r="S153" s="72"/>
      <c r="T153" s="72"/>
      <c r="U153" s="334"/>
      <c r="V153" s="72"/>
      <c r="W153" s="72"/>
      <c r="X153" s="72"/>
      <c r="Y153" s="72"/>
      <c r="Z153" s="72"/>
      <c r="AA153" s="54"/>
      <c r="AB153" s="355"/>
      <c r="AC153" s="355"/>
      <c r="AD153" s="355"/>
      <c r="AE153" s="355"/>
    </row>
    <row r="154" spans="1:31" s="216" customFormat="1" ht="11.25" customHeight="1">
      <c r="A154" s="613"/>
      <c r="B154" s="77"/>
      <c r="C154" s="77"/>
      <c r="K154" s="72"/>
      <c r="L154" s="77"/>
      <c r="M154" s="77"/>
      <c r="N154" s="72"/>
      <c r="O154" s="72"/>
      <c r="P154" s="72"/>
      <c r="Q154" s="72"/>
      <c r="R154" s="77"/>
      <c r="S154" s="72"/>
      <c r="T154" s="72"/>
      <c r="U154" s="334"/>
      <c r="V154" s="72"/>
      <c r="W154" s="72"/>
      <c r="X154" s="72"/>
      <c r="Y154" s="72"/>
      <c r="Z154" s="72"/>
      <c r="AA154" s="54"/>
      <c r="AB154" s="355"/>
      <c r="AC154" s="355"/>
      <c r="AD154" s="355"/>
      <c r="AE154" s="355"/>
    </row>
    <row r="155" spans="1:31" s="216" customFormat="1" ht="11.25" customHeight="1">
      <c r="A155" s="613"/>
      <c r="B155" s="77"/>
      <c r="C155" s="77"/>
      <c r="K155" s="72"/>
      <c r="L155" s="77"/>
      <c r="M155" s="77"/>
      <c r="N155" s="72"/>
      <c r="O155" s="72"/>
      <c r="P155" s="72"/>
      <c r="Q155" s="72"/>
      <c r="R155" s="77"/>
      <c r="S155" s="72"/>
      <c r="T155" s="72"/>
      <c r="U155" s="334"/>
      <c r="V155" s="72"/>
      <c r="W155" s="72"/>
      <c r="X155" s="72"/>
      <c r="Y155" s="72"/>
      <c r="Z155" s="72"/>
      <c r="AA155" s="54"/>
      <c r="AB155" s="355"/>
      <c r="AC155" s="355"/>
      <c r="AD155" s="355"/>
      <c r="AE155" s="355"/>
    </row>
    <row r="156" spans="1:31" s="216" customFormat="1" ht="11.25" customHeight="1">
      <c r="A156" s="613"/>
      <c r="B156" s="77"/>
      <c r="C156" s="77"/>
      <c r="K156" s="72"/>
      <c r="L156" s="77"/>
      <c r="M156" s="77"/>
      <c r="N156" s="72"/>
      <c r="O156" s="72"/>
      <c r="P156" s="72"/>
      <c r="Q156" s="72"/>
      <c r="R156" s="77"/>
      <c r="S156" s="72"/>
      <c r="T156" s="72"/>
      <c r="U156" s="334"/>
      <c r="V156" s="72"/>
      <c r="W156" s="72"/>
      <c r="X156" s="72"/>
      <c r="Y156" s="72"/>
      <c r="Z156" s="72"/>
      <c r="AA156" s="54"/>
      <c r="AB156" s="355"/>
      <c r="AC156" s="355"/>
      <c r="AD156" s="355"/>
      <c r="AE156" s="355"/>
    </row>
    <row r="157" spans="1:31" s="216" customFormat="1" ht="11.25" customHeight="1">
      <c r="A157" s="613"/>
      <c r="B157" s="77"/>
      <c r="C157" s="77"/>
      <c r="K157" s="72"/>
      <c r="L157" s="77"/>
      <c r="M157" s="77"/>
      <c r="N157" s="72"/>
      <c r="O157" s="72"/>
      <c r="P157" s="72"/>
      <c r="Q157" s="72"/>
      <c r="R157" s="77"/>
      <c r="S157" s="72"/>
      <c r="T157" s="72"/>
      <c r="U157" s="334"/>
      <c r="V157" s="72"/>
      <c r="W157" s="72"/>
      <c r="X157" s="72"/>
      <c r="Y157" s="72"/>
      <c r="Z157" s="72"/>
      <c r="AA157" s="54"/>
      <c r="AB157" s="355"/>
      <c r="AC157" s="355"/>
      <c r="AD157" s="355"/>
      <c r="AE157" s="355"/>
    </row>
    <row r="158" spans="1:31" s="216" customFormat="1" ht="11.25" customHeight="1">
      <c r="A158" s="613"/>
      <c r="B158" s="77"/>
      <c r="C158" s="77"/>
      <c r="K158" s="72"/>
      <c r="L158" s="77"/>
      <c r="M158" s="77"/>
      <c r="N158" s="72"/>
      <c r="O158" s="72"/>
      <c r="P158" s="72"/>
      <c r="Q158" s="72"/>
      <c r="R158" s="77"/>
      <c r="S158" s="72"/>
      <c r="T158" s="72"/>
      <c r="U158" s="334"/>
      <c r="V158" s="72"/>
      <c r="W158" s="72"/>
      <c r="X158" s="72"/>
      <c r="Y158" s="72"/>
      <c r="Z158" s="72"/>
      <c r="AA158" s="54"/>
      <c r="AB158" s="355"/>
      <c r="AC158" s="355"/>
      <c r="AD158" s="355"/>
      <c r="AE158" s="355"/>
    </row>
    <row r="159" spans="1:31" s="216" customFormat="1" ht="11.25" customHeight="1">
      <c r="A159" s="613"/>
      <c r="B159" s="77"/>
      <c r="C159" s="77"/>
      <c r="K159" s="72"/>
      <c r="L159" s="77"/>
      <c r="M159" s="77"/>
      <c r="N159" s="72"/>
      <c r="O159" s="72"/>
      <c r="P159" s="72"/>
      <c r="Q159" s="72"/>
      <c r="R159" s="77"/>
      <c r="S159" s="72"/>
      <c r="T159" s="72"/>
      <c r="U159" s="334"/>
      <c r="V159" s="72"/>
      <c r="W159" s="72"/>
      <c r="X159" s="72"/>
      <c r="Y159" s="72"/>
      <c r="Z159" s="72"/>
      <c r="AA159" s="54"/>
      <c r="AB159" s="355"/>
      <c r="AC159" s="355"/>
      <c r="AD159" s="355"/>
      <c r="AE159" s="355"/>
    </row>
    <row r="160" spans="1:31" s="216" customFormat="1" ht="11.25" customHeight="1">
      <c r="A160" s="613"/>
      <c r="B160" s="77"/>
      <c r="C160" s="77"/>
      <c r="K160" s="72"/>
      <c r="L160" s="77"/>
      <c r="M160" s="77"/>
      <c r="N160" s="72"/>
      <c r="O160" s="72"/>
      <c r="P160" s="72"/>
      <c r="Q160" s="72"/>
      <c r="R160" s="77"/>
      <c r="S160" s="72"/>
      <c r="T160" s="72"/>
      <c r="U160" s="334"/>
      <c r="V160" s="72"/>
      <c r="W160" s="72"/>
      <c r="X160" s="72"/>
      <c r="Y160" s="72"/>
      <c r="Z160" s="72"/>
      <c r="AA160" s="54"/>
      <c r="AB160" s="355"/>
      <c r="AC160" s="355"/>
      <c r="AD160" s="355"/>
      <c r="AE160" s="355"/>
    </row>
    <row r="161" spans="1:31" s="216" customFormat="1" ht="11.25" customHeight="1">
      <c r="A161" s="613"/>
      <c r="B161" s="77"/>
      <c r="C161" s="77"/>
      <c r="K161" s="72"/>
      <c r="L161" s="77"/>
      <c r="M161" s="77"/>
      <c r="N161" s="72"/>
      <c r="O161" s="72"/>
      <c r="P161" s="72"/>
      <c r="Q161" s="72"/>
      <c r="R161" s="77"/>
      <c r="S161" s="72"/>
      <c r="T161" s="72"/>
      <c r="U161" s="334"/>
      <c r="V161" s="72"/>
      <c r="W161" s="72"/>
      <c r="X161" s="72"/>
      <c r="Y161" s="72"/>
      <c r="Z161" s="72"/>
      <c r="AA161" s="54"/>
      <c r="AB161" s="355"/>
      <c r="AC161" s="355"/>
      <c r="AD161" s="355"/>
      <c r="AE161" s="355"/>
    </row>
    <row r="162" spans="1:31" s="216" customFormat="1" ht="11.25" customHeight="1">
      <c r="A162" s="613"/>
      <c r="B162" s="77"/>
      <c r="C162" s="77"/>
      <c r="K162" s="72"/>
      <c r="L162" s="77"/>
      <c r="M162" s="77"/>
      <c r="N162" s="72"/>
      <c r="O162" s="72"/>
      <c r="P162" s="72"/>
      <c r="Q162" s="72"/>
      <c r="R162" s="77"/>
      <c r="S162" s="72"/>
      <c r="T162" s="72"/>
      <c r="U162" s="334"/>
      <c r="V162" s="72"/>
      <c r="W162" s="72"/>
      <c r="X162" s="72"/>
      <c r="Y162" s="72"/>
      <c r="Z162" s="72"/>
      <c r="AA162" s="54"/>
      <c r="AB162" s="355"/>
      <c r="AC162" s="355"/>
      <c r="AD162" s="355"/>
      <c r="AE162" s="355"/>
    </row>
    <row r="163" spans="1:31" s="216" customFormat="1" ht="11.25" customHeight="1">
      <c r="A163" s="613"/>
      <c r="B163" s="77"/>
      <c r="C163" s="77"/>
      <c r="K163" s="72"/>
      <c r="L163" s="77"/>
      <c r="M163" s="77"/>
      <c r="N163" s="72"/>
      <c r="O163" s="72"/>
      <c r="P163" s="72"/>
      <c r="Q163" s="72"/>
      <c r="R163" s="77"/>
      <c r="S163" s="72"/>
      <c r="T163" s="72"/>
      <c r="U163" s="334"/>
      <c r="V163" s="72"/>
      <c r="W163" s="72"/>
      <c r="X163" s="72"/>
      <c r="Y163" s="72"/>
      <c r="Z163" s="72"/>
      <c r="AA163" s="54"/>
      <c r="AB163" s="355"/>
      <c r="AC163" s="355"/>
      <c r="AD163" s="355"/>
      <c r="AE163" s="355"/>
    </row>
    <row r="164" spans="1:31" s="216" customFormat="1" ht="11.25" customHeight="1">
      <c r="A164" s="613"/>
      <c r="B164" s="77"/>
      <c r="C164" s="77"/>
      <c r="K164" s="72"/>
      <c r="L164" s="77"/>
      <c r="M164" s="77"/>
      <c r="N164" s="72"/>
      <c r="O164" s="72"/>
      <c r="P164" s="72"/>
      <c r="Q164" s="72"/>
      <c r="R164" s="77"/>
      <c r="S164" s="72"/>
      <c r="T164" s="72"/>
      <c r="U164" s="334"/>
      <c r="V164" s="72"/>
      <c r="W164" s="72"/>
      <c r="X164" s="72"/>
      <c r="Y164" s="72"/>
      <c r="Z164" s="72"/>
      <c r="AA164" s="54"/>
      <c r="AB164" s="355"/>
      <c r="AC164" s="355"/>
      <c r="AD164" s="355"/>
      <c r="AE164" s="355"/>
    </row>
    <row r="165" spans="1:31" s="216" customFormat="1" ht="11.25" customHeight="1">
      <c r="A165" s="613"/>
      <c r="B165" s="77"/>
      <c r="C165" s="77"/>
      <c r="K165" s="72"/>
      <c r="L165" s="77"/>
      <c r="M165" s="77"/>
      <c r="N165" s="72"/>
      <c r="O165" s="72"/>
      <c r="P165" s="72"/>
      <c r="Q165" s="72"/>
      <c r="R165" s="77"/>
      <c r="S165" s="72"/>
      <c r="T165" s="72"/>
      <c r="U165" s="334"/>
      <c r="V165" s="72"/>
      <c r="W165" s="72"/>
      <c r="X165" s="72"/>
      <c r="Y165" s="72"/>
      <c r="Z165" s="72"/>
      <c r="AA165" s="54"/>
      <c r="AB165" s="355"/>
      <c r="AC165" s="355"/>
      <c r="AD165" s="355"/>
      <c r="AE165" s="355"/>
    </row>
    <row r="166" spans="1:31" s="216" customFormat="1" ht="11.25" customHeight="1">
      <c r="A166" s="613"/>
      <c r="B166" s="77"/>
      <c r="C166" s="77"/>
      <c r="K166" s="72"/>
      <c r="L166" s="77"/>
      <c r="M166" s="77"/>
      <c r="N166" s="72"/>
      <c r="O166" s="72"/>
      <c r="P166" s="72"/>
      <c r="Q166" s="72"/>
      <c r="R166" s="77"/>
      <c r="S166" s="72"/>
      <c r="T166" s="72"/>
      <c r="U166" s="334"/>
      <c r="V166" s="72"/>
      <c r="W166" s="72"/>
      <c r="X166" s="72"/>
      <c r="Y166" s="72"/>
      <c r="Z166" s="72"/>
      <c r="AA166" s="54"/>
      <c r="AB166" s="355"/>
      <c r="AC166" s="355"/>
      <c r="AD166" s="355"/>
      <c r="AE166" s="355"/>
    </row>
    <row r="167" spans="1:31" s="216" customFormat="1" ht="11.25" customHeight="1">
      <c r="A167" s="613"/>
      <c r="B167" s="77"/>
      <c r="C167" s="77"/>
      <c r="K167" s="72"/>
      <c r="L167" s="77"/>
      <c r="M167" s="77"/>
      <c r="N167" s="72"/>
      <c r="O167" s="72"/>
      <c r="P167" s="72"/>
      <c r="Q167" s="72"/>
      <c r="R167" s="77"/>
      <c r="S167" s="72"/>
      <c r="T167" s="72"/>
      <c r="U167" s="334"/>
      <c r="V167" s="72"/>
      <c r="W167" s="72"/>
      <c r="X167" s="72"/>
      <c r="Y167" s="72"/>
      <c r="Z167" s="72"/>
      <c r="AA167" s="54"/>
      <c r="AB167" s="355"/>
      <c r="AC167" s="355"/>
      <c r="AD167" s="355"/>
      <c r="AE167" s="355"/>
    </row>
    <row r="168" spans="1:31" s="216" customFormat="1" ht="11.25" customHeight="1">
      <c r="A168" s="613"/>
      <c r="B168" s="77"/>
      <c r="C168" s="77"/>
      <c r="K168" s="72"/>
      <c r="L168" s="77"/>
      <c r="M168" s="77"/>
      <c r="N168" s="72"/>
      <c r="O168" s="72"/>
      <c r="P168" s="72"/>
      <c r="Q168" s="72"/>
      <c r="R168" s="77"/>
      <c r="S168" s="72"/>
      <c r="T168" s="72"/>
      <c r="U168" s="334"/>
      <c r="V168" s="72"/>
      <c r="W168" s="72"/>
      <c r="X168" s="72"/>
      <c r="Y168" s="72"/>
      <c r="Z168" s="72"/>
      <c r="AA168" s="54"/>
      <c r="AB168" s="355"/>
      <c r="AC168" s="355"/>
      <c r="AD168" s="355"/>
      <c r="AE168" s="355"/>
    </row>
    <row r="169" spans="1:31" s="216" customFormat="1" ht="11.25" customHeight="1">
      <c r="A169" s="613"/>
      <c r="B169" s="77"/>
      <c r="C169" s="77"/>
      <c r="K169" s="72"/>
      <c r="L169" s="77"/>
      <c r="M169" s="77"/>
      <c r="N169" s="72"/>
      <c r="O169" s="72"/>
      <c r="P169" s="72"/>
      <c r="Q169" s="72"/>
      <c r="R169" s="77"/>
      <c r="S169" s="72"/>
      <c r="T169" s="72"/>
      <c r="U169" s="334"/>
      <c r="V169" s="72"/>
      <c r="W169" s="72"/>
      <c r="X169" s="72"/>
      <c r="Y169" s="72"/>
      <c r="Z169" s="72"/>
      <c r="AA169" s="54"/>
      <c r="AB169" s="355"/>
      <c r="AC169" s="355"/>
      <c r="AD169" s="355"/>
      <c r="AE169" s="355"/>
    </row>
    <row r="170" spans="1:31" s="216" customFormat="1" ht="11.25" customHeight="1">
      <c r="A170" s="613"/>
      <c r="B170" s="77"/>
      <c r="C170" s="77"/>
      <c r="K170" s="72"/>
      <c r="L170" s="77"/>
      <c r="M170" s="77"/>
      <c r="N170" s="72"/>
      <c r="O170" s="72"/>
      <c r="P170" s="72"/>
      <c r="Q170" s="72"/>
      <c r="R170" s="77"/>
      <c r="S170" s="72"/>
      <c r="T170" s="72"/>
      <c r="U170" s="334"/>
      <c r="V170" s="72"/>
      <c r="W170" s="72"/>
      <c r="X170" s="72"/>
      <c r="Y170" s="72"/>
      <c r="Z170" s="72"/>
      <c r="AA170" s="54"/>
      <c r="AB170" s="355"/>
      <c r="AC170" s="355"/>
      <c r="AD170" s="355"/>
      <c r="AE170" s="355"/>
    </row>
    <row r="171" spans="1:31" s="216" customFormat="1" ht="11.25" customHeight="1">
      <c r="A171" s="613"/>
      <c r="B171" s="77"/>
      <c r="C171" s="77"/>
      <c r="K171" s="72"/>
      <c r="L171" s="77"/>
      <c r="M171" s="77"/>
      <c r="N171" s="72"/>
      <c r="O171" s="72"/>
      <c r="P171" s="72"/>
      <c r="Q171" s="72"/>
      <c r="R171" s="77"/>
      <c r="S171" s="72"/>
      <c r="T171" s="72"/>
      <c r="U171" s="334"/>
      <c r="V171" s="72"/>
      <c r="W171" s="72"/>
      <c r="X171" s="72"/>
      <c r="Y171" s="72"/>
      <c r="Z171" s="72"/>
      <c r="AA171" s="54"/>
      <c r="AB171" s="355"/>
      <c r="AC171" s="355"/>
      <c r="AD171" s="355"/>
      <c r="AE171" s="355"/>
    </row>
    <row r="172" spans="1:31" s="216" customFormat="1" ht="11.25" customHeight="1">
      <c r="A172" s="613"/>
      <c r="B172" s="77"/>
      <c r="C172" s="77"/>
      <c r="K172" s="72"/>
      <c r="L172" s="77"/>
      <c r="M172" s="77"/>
      <c r="N172" s="72"/>
      <c r="O172" s="72"/>
      <c r="P172" s="72"/>
      <c r="Q172" s="72"/>
      <c r="R172" s="77"/>
      <c r="S172" s="72"/>
      <c r="T172" s="72"/>
      <c r="U172" s="334"/>
      <c r="V172" s="72"/>
      <c r="W172" s="72"/>
      <c r="X172" s="72"/>
      <c r="Y172" s="72"/>
      <c r="Z172" s="72"/>
      <c r="AA172" s="54"/>
      <c r="AB172" s="355"/>
      <c r="AC172" s="355"/>
      <c r="AD172" s="355"/>
      <c r="AE172" s="355"/>
    </row>
    <row r="173" spans="1:31" s="216" customFormat="1" ht="11.25" customHeight="1">
      <c r="A173" s="613"/>
      <c r="B173" s="77"/>
      <c r="C173" s="77"/>
      <c r="K173" s="72"/>
      <c r="L173" s="77"/>
      <c r="M173" s="77"/>
      <c r="N173" s="72"/>
      <c r="O173" s="72"/>
      <c r="P173" s="72"/>
      <c r="Q173" s="72"/>
      <c r="R173" s="77"/>
      <c r="S173" s="72"/>
      <c r="T173" s="72"/>
      <c r="U173" s="334"/>
      <c r="V173" s="72"/>
      <c r="W173" s="72"/>
      <c r="X173" s="72"/>
      <c r="Y173" s="72"/>
      <c r="Z173" s="72"/>
      <c r="AA173" s="54"/>
      <c r="AB173" s="355"/>
      <c r="AC173" s="355"/>
      <c r="AD173" s="355"/>
      <c r="AE173" s="355"/>
    </row>
    <row r="174" spans="1:31" s="216" customFormat="1" ht="11.25" customHeight="1">
      <c r="A174" s="613"/>
      <c r="B174" s="77"/>
      <c r="C174" s="77"/>
      <c r="K174" s="72"/>
      <c r="L174" s="77"/>
      <c r="M174" s="77"/>
      <c r="N174" s="72"/>
      <c r="O174" s="72"/>
      <c r="P174" s="72"/>
      <c r="Q174" s="72"/>
      <c r="R174" s="77"/>
      <c r="S174" s="72"/>
      <c r="T174" s="72"/>
      <c r="U174" s="334"/>
      <c r="V174" s="72"/>
      <c r="W174" s="72"/>
      <c r="X174" s="72"/>
      <c r="Y174" s="72"/>
      <c r="Z174" s="72"/>
      <c r="AA174" s="54"/>
      <c r="AB174" s="355"/>
      <c r="AC174" s="355"/>
      <c r="AD174" s="355"/>
      <c r="AE174" s="355"/>
    </row>
    <row r="175" spans="1:31" s="216" customFormat="1" ht="11.25" customHeight="1">
      <c r="A175" s="613"/>
      <c r="B175" s="77"/>
      <c r="C175" s="77"/>
      <c r="K175" s="72"/>
      <c r="L175" s="77"/>
      <c r="M175" s="77"/>
      <c r="N175" s="72"/>
      <c r="O175" s="72"/>
      <c r="P175" s="72"/>
      <c r="Q175" s="72"/>
      <c r="R175" s="77"/>
      <c r="S175" s="72"/>
      <c r="T175" s="72"/>
      <c r="U175" s="334"/>
      <c r="V175" s="72"/>
      <c r="W175" s="72"/>
      <c r="X175" s="72"/>
      <c r="Y175" s="72"/>
      <c r="Z175" s="72"/>
      <c r="AA175" s="54"/>
      <c r="AB175" s="355"/>
      <c r="AC175" s="355"/>
      <c r="AD175" s="355"/>
      <c r="AE175" s="355"/>
    </row>
    <row r="176" spans="1:31" s="216" customFormat="1" ht="11.25" customHeight="1">
      <c r="A176" s="613"/>
      <c r="B176" s="77"/>
      <c r="C176" s="77"/>
      <c r="K176" s="72"/>
      <c r="L176" s="77"/>
      <c r="M176" s="77"/>
      <c r="N176" s="72"/>
      <c r="O176" s="72"/>
      <c r="P176" s="72"/>
      <c r="Q176" s="72"/>
      <c r="R176" s="77"/>
      <c r="S176" s="72"/>
      <c r="T176" s="72"/>
      <c r="U176" s="334"/>
      <c r="V176" s="72"/>
      <c r="W176" s="72"/>
      <c r="X176" s="72"/>
      <c r="Y176" s="72"/>
      <c r="Z176" s="72"/>
      <c r="AA176" s="54"/>
      <c r="AB176" s="355"/>
      <c r="AC176" s="355"/>
      <c r="AD176" s="355"/>
      <c r="AE176" s="355"/>
    </row>
    <row r="177" spans="1:31" s="216" customFormat="1" ht="11.25" customHeight="1">
      <c r="A177" s="613"/>
      <c r="B177" s="77"/>
      <c r="C177" s="77"/>
      <c r="K177" s="72"/>
      <c r="L177" s="77"/>
      <c r="M177" s="77"/>
      <c r="N177" s="72"/>
      <c r="O177" s="72"/>
      <c r="P177" s="72"/>
      <c r="Q177" s="72"/>
      <c r="R177" s="77"/>
      <c r="S177" s="72"/>
      <c r="T177" s="72"/>
      <c r="U177" s="334"/>
      <c r="V177" s="72"/>
      <c r="W177" s="72"/>
      <c r="X177" s="72"/>
      <c r="Y177" s="72"/>
      <c r="Z177" s="72"/>
      <c r="AA177" s="54"/>
      <c r="AB177" s="355"/>
      <c r="AC177" s="355"/>
      <c r="AD177" s="355"/>
      <c r="AE177" s="355"/>
    </row>
    <row r="178" spans="1:31" s="216" customFormat="1" ht="11.25" customHeight="1">
      <c r="A178" s="613"/>
      <c r="B178" s="77"/>
      <c r="C178" s="77"/>
      <c r="K178" s="72"/>
      <c r="L178" s="77"/>
      <c r="M178" s="77"/>
      <c r="N178" s="72"/>
      <c r="O178" s="72"/>
      <c r="P178" s="72"/>
      <c r="Q178" s="72"/>
      <c r="R178" s="77"/>
      <c r="S178" s="72"/>
      <c r="T178" s="72"/>
      <c r="U178" s="334"/>
      <c r="V178" s="72"/>
      <c r="W178" s="72"/>
      <c r="X178" s="72"/>
      <c r="Y178" s="72"/>
      <c r="Z178" s="72"/>
      <c r="AA178" s="54"/>
      <c r="AB178" s="355"/>
      <c r="AC178" s="355"/>
      <c r="AD178" s="355"/>
      <c r="AE178" s="355"/>
    </row>
    <row r="179" spans="1:31" s="216" customFormat="1" ht="11.25" customHeight="1">
      <c r="A179" s="613"/>
      <c r="B179" s="77"/>
      <c r="C179" s="77"/>
      <c r="K179" s="72"/>
      <c r="L179" s="77"/>
      <c r="M179" s="77"/>
      <c r="N179" s="72"/>
      <c r="O179" s="72"/>
      <c r="P179" s="72"/>
      <c r="Q179" s="72"/>
      <c r="R179" s="77"/>
      <c r="S179" s="72"/>
      <c r="T179" s="72"/>
      <c r="U179" s="334"/>
      <c r="V179" s="72"/>
      <c r="W179" s="72"/>
      <c r="X179" s="72"/>
      <c r="Y179" s="72"/>
      <c r="Z179" s="72"/>
      <c r="AA179" s="54"/>
      <c r="AB179" s="355"/>
      <c r="AC179" s="355"/>
      <c r="AD179" s="355"/>
      <c r="AE179" s="355"/>
    </row>
    <row r="180" spans="1:31" s="216" customFormat="1" ht="11.25" customHeight="1">
      <c r="A180" s="613"/>
      <c r="B180" s="77"/>
      <c r="C180" s="77"/>
      <c r="K180" s="72"/>
      <c r="L180" s="77"/>
      <c r="M180" s="77"/>
      <c r="N180" s="72"/>
      <c r="O180" s="72"/>
      <c r="P180" s="72"/>
      <c r="Q180" s="72"/>
      <c r="R180" s="77"/>
      <c r="S180" s="72"/>
      <c r="T180" s="72"/>
      <c r="U180" s="334"/>
      <c r="V180" s="72"/>
      <c r="W180" s="72"/>
      <c r="X180" s="72"/>
      <c r="Y180" s="72"/>
      <c r="Z180" s="72"/>
      <c r="AA180" s="54"/>
      <c r="AB180" s="355"/>
      <c r="AC180" s="355"/>
      <c r="AD180" s="355"/>
      <c r="AE180" s="355"/>
    </row>
    <row r="181" spans="1:31" s="216" customFormat="1" ht="11.25" customHeight="1">
      <c r="A181" s="613"/>
      <c r="B181" s="77"/>
      <c r="C181" s="77"/>
      <c r="K181" s="72"/>
      <c r="L181" s="77"/>
      <c r="M181" s="77"/>
      <c r="N181" s="72"/>
      <c r="O181" s="72"/>
      <c r="P181" s="72"/>
      <c r="Q181" s="72"/>
      <c r="R181" s="77"/>
      <c r="S181" s="72"/>
      <c r="T181" s="72"/>
      <c r="U181" s="334"/>
      <c r="V181" s="72"/>
      <c r="W181" s="72"/>
      <c r="X181" s="72"/>
      <c r="Y181" s="72"/>
      <c r="Z181" s="72"/>
      <c r="AA181" s="54"/>
      <c r="AB181" s="355"/>
      <c r="AC181" s="355"/>
      <c r="AD181" s="355"/>
      <c r="AE181" s="355"/>
    </row>
    <row r="182" spans="1:31" s="216" customFormat="1" ht="11.25" customHeight="1">
      <c r="A182" s="613"/>
      <c r="B182" s="77"/>
      <c r="C182" s="77"/>
      <c r="K182" s="72"/>
      <c r="L182" s="77"/>
      <c r="M182" s="77"/>
      <c r="N182" s="72"/>
      <c r="O182" s="72"/>
      <c r="P182" s="72"/>
      <c r="Q182" s="72"/>
      <c r="R182" s="77"/>
      <c r="S182" s="72"/>
      <c r="T182" s="72"/>
      <c r="U182" s="334"/>
      <c r="V182" s="72"/>
      <c r="W182" s="72"/>
      <c r="X182" s="72"/>
      <c r="Y182" s="72"/>
      <c r="Z182" s="72"/>
      <c r="AA182" s="54"/>
      <c r="AB182" s="355"/>
      <c r="AC182" s="355"/>
      <c r="AD182" s="355"/>
      <c r="AE182" s="355"/>
    </row>
    <row r="183" spans="1:31" s="216" customFormat="1" ht="11.25" customHeight="1">
      <c r="A183" s="613"/>
      <c r="B183" s="77"/>
      <c r="C183" s="77"/>
      <c r="K183" s="72"/>
      <c r="L183" s="77"/>
      <c r="M183" s="77"/>
      <c r="N183" s="72"/>
      <c r="O183" s="72"/>
      <c r="P183" s="72"/>
      <c r="Q183" s="72"/>
      <c r="R183" s="77"/>
      <c r="S183" s="72"/>
      <c r="T183" s="72"/>
      <c r="U183" s="334"/>
      <c r="V183" s="72"/>
      <c r="W183" s="72"/>
      <c r="X183" s="72"/>
      <c r="Y183" s="72"/>
      <c r="Z183" s="72"/>
      <c r="AA183" s="54"/>
      <c r="AB183" s="355"/>
      <c r="AC183" s="355"/>
      <c r="AD183" s="355"/>
      <c r="AE183" s="355"/>
    </row>
    <row r="184" spans="1:31" s="216" customFormat="1" ht="11.25" customHeight="1">
      <c r="A184" s="613"/>
      <c r="B184" s="77"/>
      <c r="C184" s="77"/>
      <c r="K184" s="72"/>
      <c r="L184" s="77"/>
      <c r="M184" s="77"/>
      <c r="N184" s="72"/>
      <c r="O184" s="72"/>
      <c r="P184" s="72"/>
      <c r="Q184" s="72"/>
      <c r="R184" s="77"/>
      <c r="S184" s="72"/>
      <c r="T184" s="72"/>
      <c r="U184" s="334"/>
      <c r="V184" s="72"/>
      <c r="W184" s="72"/>
      <c r="X184" s="72"/>
      <c r="Y184" s="72"/>
      <c r="Z184" s="72"/>
      <c r="AA184" s="54"/>
      <c r="AB184" s="355"/>
      <c r="AC184" s="355"/>
      <c r="AD184" s="355"/>
      <c r="AE184" s="355"/>
    </row>
    <row r="185" spans="1:31" s="216" customFormat="1" ht="11.25" customHeight="1">
      <c r="A185" s="613"/>
      <c r="B185" s="77"/>
      <c r="C185" s="77"/>
      <c r="K185" s="72"/>
      <c r="L185" s="77"/>
      <c r="M185" s="77"/>
      <c r="N185" s="72"/>
      <c r="O185" s="72"/>
      <c r="P185" s="72"/>
      <c r="Q185" s="72"/>
      <c r="R185" s="77"/>
      <c r="S185" s="72"/>
      <c r="T185" s="72"/>
      <c r="U185" s="334"/>
      <c r="V185" s="72"/>
      <c r="W185" s="72"/>
      <c r="X185" s="72"/>
      <c r="Y185" s="72"/>
      <c r="Z185" s="72"/>
      <c r="AA185" s="54"/>
      <c r="AB185" s="355"/>
      <c r="AC185" s="355"/>
      <c r="AD185" s="355"/>
      <c r="AE185" s="355"/>
    </row>
    <row r="186" spans="1:31" s="216" customFormat="1" ht="11.25" customHeight="1">
      <c r="A186" s="613"/>
      <c r="B186" s="77"/>
      <c r="C186" s="77"/>
      <c r="K186" s="72"/>
      <c r="L186" s="77"/>
      <c r="M186" s="77"/>
      <c r="N186" s="72"/>
      <c r="O186" s="72"/>
      <c r="P186" s="72"/>
      <c r="Q186" s="72"/>
      <c r="R186" s="77"/>
      <c r="S186" s="72"/>
      <c r="T186" s="72"/>
      <c r="U186" s="334"/>
      <c r="V186" s="72"/>
      <c r="W186" s="72"/>
      <c r="X186" s="72"/>
      <c r="Y186" s="72"/>
      <c r="Z186" s="72"/>
      <c r="AA186" s="54"/>
      <c r="AB186" s="355"/>
      <c r="AC186" s="355"/>
      <c r="AD186" s="355"/>
      <c r="AE186" s="355"/>
    </row>
    <row r="187" spans="1:31" s="216" customFormat="1" ht="11.25" customHeight="1">
      <c r="A187" s="613"/>
      <c r="B187" s="77"/>
      <c r="C187" s="77"/>
      <c r="K187" s="72"/>
      <c r="L187" s="77"/>
      <c r="M187" s="77"/>
      <c r="N187" s="72"/>
      <c r="O187" s="72"/>
      <c r="P187" s="72"/>
      <c r="Q187" s="72"/>
      <c r="R187" s="77"/>
      <c r="S187" s="72"/>
      <c r="T187" s="72"/>
      <c r="U187" s="334"/>
      <c r="V187" s="72"/>
      <c r="W187" s="72"/>
      <c r="X187" s="72"/>
      <c r="Y187" s="72"/>
      <c r="Z187" s="72"/>
      <c r="AA187" s="54"/>
      <c r="AB187" s="355"/>
      <c r="AC187" s="355"/>
      <c r="AD187" s="355"/>
      <c r="AE187" s="355"/>
    </row>
    <row r="188" spans="1:31" s="216" customFormat="1" ht="11.25" customHeight="1">
      <c r="A188" s="613"/>
      <c r="B188" s="77"/>
      <c r="C188" s="77"/>
      <c r="K188" s="72"/>
      <c r="L188" s="77"/>
      <c r="M188" s="77"/>
      <c r="N188" s="72"/>
      <c r="O188" s="72"/>
      <c r="P188" s="72"/>
      <c r="Q188" s="72"/>
      <c r="R188" s="77"/>
      <c r="S188" s="72"/>
      <c r="T188" s="72"/>
      <c r="U188" s="334"/>
      <c r="V188" s="72"/>
      <c r="W188" s="72"/>
      <c r="X188" s="72"/>
      <c r="Y188" s="72"/>
      <c r="Z188" s="72"/>
      <c r="AA188" s="54"/>
      <c r="AB188" s="355"/>
      <c r="AC188" s="355"/>
      <c r="AD188" s="355"/>
      <c r="AE188" s="355"/>
    </row>
    <row r="189" spans="1:31" s="216" customFormat="1" ht="11.25" customHeight="1">
      <c r="A189" s="613"/>
      <c r="B189" s="77"/>
      <c r="C189" s="77"/>
      <c r="K189" s="72"/>
      <c r="L189" s="77"/>
      <c r="M189" s="77"/>
      <c r="N189" s="72"/>
      <c r="O189" s="72"/>
      <c r="P189" s="72"/>
      <c r="Q189" s="72"/>
      <c r="R189" s="77"/>
      <c r="S189" s="72"/>
      <c r="T189" s="72"/>
      <c r="U189" s="334"/>
      <c r="V189" s="72"/>
      <c r="W189" s="72"/>
      <c r="X189" s="72"/>
      <c r="Y189" s="72"/>
      <c r="Z189" s="72"/>
      <c r="AA189" s="54"/>
      <c r="AB189" s="355"/>
      <c r="AC189" s="355"/>
      <c r="AD189" s="355"/>
      <c r="AE189" s="355"/>
    </row>
    <row r="190" spans="1:31" s="216" customFormat="1" ht="11.25" customHeight="1">
      <c r="A190" s="613"/>
      <c r="B190" s="77"/>
      <c r="C190" s="77"/>
      <c r="K190" s="72"/>
      <c r="L190" s="77"/>
      <c r="M190" s="77"/>
      <c r="N190" s="72"/>
      <c r="O190" s="72"/>
      <c r="P190" s="72"/>
      <c r="Q190" s="72"/>
      <c r="R190" s="77"/>
      <c r="S190" s="72"/>
      <c r="T190" s="72"/>
      <c r="U190" s="334"/>
      <c r="V190" s="72"/>
      <c r="W190" s="72"/>
      <c r="X190" s="72"/>
      <c r="Y190" s="72"/>
      <c r="Z190" s="72"/>
      <c r="AA190" s="54"/>
      <c r="AB190" s="355"/>
      <c r="AC190" s="355"/>
      <c r="AD190" s="355"/>
      <c r="AE190" s="355"/>
    </row>
    <row r="191" spans="1:31" s="216" customFormat="1" ht="11.25" customHeight="1">
      <c r="A191" s="613"/>
      <c r="B191" s="77"/>
      <c r="C191" s="77"/>
      <c r="K191" s="72"/>
      <c r="L191" s="77"/>
      <c r="M191" s="77"/>
      <c r="N191" s="72"/>
      <c r="O191" s="72"/>
      <c r="P191" s="72"/>
      <c r="Q191" s="72"/>
      <c r="R191" s="77"/>
      <c r="S191" s="72"/>
      <c r="T191" s="72"/>
      <c r="U191" s="334"/>
      <c r="V191" s="72"/>
      <c r="W191" s="72"/>
      <c r="X191" s="72"/>
      <c r="Y191" s="72"/>
      <c r="Z191" s="72"/>
      <c r="AA191" s="54"/>
      <c r="AB191" s="355"/>
      <c r="AC191" s="355"/>
      <c r="AD191" s="355"/>
      <c r="AE191" s="355"/>
    </row>
    <row r="192" spans="1:31" s="216" customFormat="1" ht="11.25" customHeight="1">
      <c r="A192" s="613"/>
      <c r="B192" s="77"/>
      <c r="C192" s="77"/>
      <c r="K192" s="72"/>
      <c r="L192" s="77"/>
      <c r="M192" s="77"/>
      <c r="N192" s="72"/>
      <c r="O192" s="72"/>
      <c r="P192" s="72"/>
      <c r="Q192" s="72"/>
      <c r="R192" s="77"/>
      <c r="S192" s="72"/>
      <c r="T192" s="72"/>
      <c r="U192" s="334"/>
      <c r="V192" s="72"/>
      <c r="W192" s="72"/>
      <c r="X192" s="72"/>
      <c r="Y192" s="72"/>
      <c r="Z192" s="72"/>
      <c r="AA192" s="54"/>
      <c r="AB192" s="355"/>
      <c r="AC192" s="355"/>
      <c r="AD192" s="355"/>
      <c r="AE192" s="355"/>
    </row>
    <row r="193" spans="1:31" s="216" customFormat="1" ht="11.25" customHeight="1">
      <c r="A193" s="613"/>
      <c r="B193" s="77"/>
      <c r="C193" s="77"/>
      <c r="K193" s="72"/>
      <c r="L193" s="77"/>
      <c r="M193" s="77"/>
      <c r="N193" s="72"/>
      <c r="O193" s="72"/>
      <c r="P193" s="72"/>
      <c r="Q193" s="72"/>
      <c r="R193" s="77"/>
      <c r="S193" s="72"/>
      <c r="T193" s="72"/>
      <c r="U193" s="334"/>
      <c r="V193" s="72"/>
      <c r="W193" s="72"/>
      <c r="X193" s="72"/>
      <c r="Y193" s="72"/>
      <c r="Z193" s="72"/>
      <c r="AA193" s="54"/>
      <c r="AB193" s="355"/>
      <c r="AC193" s="355"/>
      <c r="AD193" s="355"/>
      <c r="AE193" s="355"/>
    </row>
    <row r="194" spans="1:31" s="216" customFormat="1" ht="11.25" customHeight="1">
      <c r="A194" s="613"/>
      <c r="B194" s="77"/>
      <c r="C194" s="77"/>
      <c r="K194" s="72"/>
      <c r="L194" s="77"/>
      <c r="M194" s="77"/>
      <c r="N194" s="72"/>
      <c r="O194" s="72"/>
      <c r="P194" s="72"/>
      <c r="Q194" s="72"/>
      <c r="R194" s="77"/>
      <c r="S194" s="72"/>
      <c r="T194" s="72"/>
      <c r="U194" s="334"/>
      <c r="V194" s="72"/>
      <c r="W194" s="72"/>
      <c r="X194" s="72"/>
      <c r="Y194" s="72"/>
      <c r="Z194" s="72"/>
      <c r="AA194" s="54"/>
      <c r="AB194" s="355"/>
      <c r="AC194" s="355"/>
      <c r="AD194" s="355"/>
      <c r="AE194" s="355"/>
    </row>
    <row r="195" spans="1:31" s="216" customFormat="1" ht="11.25" customHeight="1">
      <c r="A195" s="613"/>
      <c r="B195" s="77"/>
      <c r="C195" s="77"/>
      <c r="K195" s="72"/>
      <c r="L195" s="77"/>
      <c r="M195" s="77"/>
      <c r="N195" s="72"/>
      <c r="O195" s="72"/>
      <c r="P195" s="72"/>
      <c r="Q195" s="72"/>
      <c r="R195" s="77"/>
      <c r="S195" s="72"/>
      <c r="T195" s="72"/>
      <c r="U195" s="334"/>
      <c r="V195" s="72"/>
      <c r="W195" s="72"/>
      <c r="X195" s="72"/>
      <c r="Y195" s="72"/>
      <c r="Z195" s="72"/>
      <c r="AA195" s="54"/>
      <c r="AB195" s="355"/>
      <c r="AC195" s="355"/>
      <c r="AD195" s="355"/>
      <c r="AE195" s="355"/>
    </row>
    <row r="196" spans="1:31" s="216" customFormat="1" ht="11.25" customHeight="1">
      <c r="A196" s="613"/>
      <c r="B196" s="77"/>
      <c r="C196" s="77"/>
      <c r="K196" s="72"/>
      <c r="L196" s="77"/>
      <c r="M196" s="77"/>
      <c r="N196" s="72"/>
      <c r="O196" s="72"/>
      <c r="P196" s="72"/>
      <c r="Q196" s="72"/>
      <c r="R196" s="77"/>
      <c r="S196" s="72"/>
      <c r="T196" s="72"/>
      <c r="U196" s="334"/>
      <c r="V196" s="72"/>
      <c r="W196" s="72"/>
      <c r="X196" s="72"/>
      <c r="Y196" s="72"/>
      <c r="Z196" s="72"/>
      <c r="AA196" s="54"/>
      <c r="AB196" s="355"/>
      <c r="AC196" s="355"/>
      <c r="AD196" s="355"/>
      <c r="AE196" s="355"/>
    </row>
    <row r="197" spans="1:31" s="216" customFormat="1" ht="11.25" customHeight="1">
      <c r="A197" s="613"/>
      <c r="B197" s="77"/>
      <c r="C197" s="77"/>
      <c r="K197" s="72"/>
      <c r="L197" s="77"/>
      <c r="M197" s="77"/>
      <c r="N197" s="72"/>
      <c r="O197" s="72"/>
      <c r="P197" s="72"/>
      <c r="Q197" s="72"/>
      <c r="R197" s="77"/>
      <c r="S197" s="72"/>
      <c r="T197" s="72"/>
      <c r="U197" s="334"/>
      <c r="V197" s="72"/>
      <c r="W197" s="72"/>
      <c r="X197" s="72"/>
      <c r="Y197" s="72"/>
      <c r="Z197" s="72"/>
      <c r="AA197" s="54"/>
      <c r="AB197" s="355"/>
      <c r="AC197" s="355"/>
      <c r="AD197" s="355"/>
      <c r="AE197" s="355"/>
    </row>
    <row r="198" spans="1:31" s="216" customFormat="1" ht="11.25" customHeight="1">
      <c r="A198" s="613"/>
      <c r="B198" s="77"/>
      <c r="C198" s="77"/>
      <c r="K198" s="72"/>
      <c r="L198" s="77"/>
      <c r="M198" s="77"/>
      <c r="N198" s="72"/>
      <c r="O198" s="72"/>
      <c r="P198" s="72"/>
      <c r="Q198" s="72"/>
      <c r="R198" s="77"/>
      <c r="S198" s="72"/>
      <c r="T198" s="72"/>
      <c r="U198" s="334"/>
      <c r="V198" s="72"/>
      <c r="W198" s="72"/>
      <c r="X198" s="72"/>
      <c r="Y198" s="72"/>
      <c r="Z198" s="72"/>
      <c r="AA198" s="54"/>
      <c r="AB198" s="355"/>
      <c r="AC198" s="355"/>
      <c r="AD198" s="355"/>
      <c r="AE198" s="355"/>
    </row>
    <row r="199" spans="1:31" s="216" customFormat="1" ht="11.25" customHeight="1">
      <c r="A199" s="613"/>
      <c r="B199" s="77"/>
      <c r="C199" s="77"/>
      <c r="K199" s="72"/>
      <c r="L199" s="77"/>
      <c r="M199" s="77"/>
      <c r="N199" s="72"/>
      <c r="O199" s="72"/>
      <c r="P199" s="72"/>
      <c r="Q199" s="72"/>
      <c r="R199" s="77"/>
      <c r="S199" s="72"/>
      <c r="T199" s="72"/>
      <c r="U199" s="334"/>
      <c r="V199" s="72"/>
      <c r="W199" s="72"/>
      <c r="X199" s="72"/>
      <c r="Y199" s="72"/>
      <c r="Z199" s="72"/>
      <c r="AA199" s="54"/>
      <c r="AB199" s="355"/>
      <c r="AC199" s="355"/>
      <c r="AD199" s="355"/>
      <c r="AE199" s="355"/>
    </row>
    <row r="200" spans="1:31" s="216" customFormat="1" ht="11.25" customHeight="1">
      <c r="A200" s="613"/>
      <c r="B200" s="77"/>
      <c r="C200" s="77"/>
      <c r="K200" s="72"/>
      <c r="L200" s="77"/>
      <c r="M200" s="77"/>
      <c r="N200" s="72"/>
      <c r="O200" s="72"/>
      <c r="P200" s="72"/>
      <c r="Q200" s="72"/>
      <c r="R200" s="77"/>
      <c r="S200" s="72"/>
      <c r="T200" s="72"/>
      <c r="U200" s="334"/>
      <c r="V200" s="72"/>
      <c r="W200" s="72"/>
      <c r="X200" s="72"/>
      <c r="Y200" s="72"/>
      <c r="Z200" s="72"/>
      <c r="AA200" s="54"/>
      <c r="AB200" s="355"/>
      <c r="AC200" s="355"/>
      <c r="AD200" s="355"/>
      <c r="AE200" s="355"/>
    </row>
    <row r="201" spans="1:31" s="216" customFormat="1" ht="11.25" customHeight="1">
      <c r="A201" s="613"/>
      <c r="B201" s="77"/>
      <c r="C201" s="77"/>
      <c r="K201" s="72"/>
      <c r="L201" s="77"/>
      <c r="M201" s="77"/>
      <c r="N201" s="72"/>
      <c r="O201" s="72"/>
      <c r="P201" s="72"/>
      <c r="Q201" s="72"/>
      <c r="R201" s="77"/>
      <c r="S201" s="72"/>
      <c r="T201" s="72"/>
      <c r="U201" s="334"/>
      <c r="V201" s="72"/>
      <c r="W201" s="72"/>
      <c r="X201" s="72"/>
      <c r="Y201" s="72"/>
      <c r="Z201" s="72"/>
      <c r="AA201" s="54"/>
      <c r="AB201" s="355"/>
      <c r="AC201" s="355"/>
      <c r="AD201" s="355"/>
      <c r="AE201" s="355"/>
    </row>
    <row r="202" spans="1:31" s="216" customFormat="1" ht="11.25" customHeight="1">
      <c r="A202" s="613"/>
      <c r="B202" s="77"/>
      <c r="C202" s="77"/>
      <c r="K202" s="72"/>
      <c r="L202" s="77"/>
      <c r="M202" s="77"/>
      <c r="N202" s="72"/>
      <c r="O202" s="72"/>
      <c r="P202" s="72"/>
      <c r="Q202" s="72"/>
      <c r="R202" s="77"/>
      <c r="S202" s="72"/>
      <c r="T202" s="72"/>
      <c r="U202" s="334"/>
      <c r="V202" s="72"/>
      <c r="W202" s="72"/>
      <c r="X202" s="72"/>
      <c r="Y202" s="72"/>
      <c r="Z202" s="72"/>
      <c r="AA202" s="54"/>
      <c r="AB202" s="355"/>
      <c r="AC202" s="355"/>
      <c r="AD202" s="355"/>
      <c r="AE202" s="355"/>
    </row>
    <row r="203" spans="1:31" s="216" customFormat="1" ht="11.25" customHeight="1">
      <c r="A203" s="613"/>
      <c r="B203" s="77"/>
      <c r="C203" s="77"/>
      <c r="K203" s="72"/>
      <c r="L203" s="77"/>
      <c r="M203" s="77"/>
      <c r="N203" s="72"/>
      <c r="O203" s="72"/>
      <c r="P203" s="72"/>
      <c r="Q203" s="72"/>
      <c r="R203" s="77"/>
      <c r="S203" s="72"/>
      <c r="T203" s="72"/>
      <c r="U203" s="334"/>
      <c r="V203" s="72"/>
      <c r="W203" s="72"/>
      <c r="X203" s="72"/>
      <c r="Y203" s="72"/>
      <c r="Z203" s="72"/>
      <c r="AA203" s="54"/>
      <c r="AB203" s="355"/>
      <c r="AC203" s="355"/>
      <c r="AD203" s="355"/>
      <c r="AE203" s="355"/>
    </row>
    <row r="204" spans="1:31" s="216" customFormat="1" ht="11.25" customHeight="1">
      <c r="A204" s="613"/>
      <c r="B204" s="77"/>
      <c r="C204" s="77"/>
      <c r="K204" s="72"/>
      <c r="L204" s="77"/>
      <c r="M204" s="77"/>
      <c r="N204" s="72"/>
      <c r="O204" s="72"/>
      <c r="P204" s="72"/>
      <c r="Q204" s="72"/>
      <c r="R204" s="77"/>
      <c r="S204" s="72"/>
      <c r="T204" s="72"/>
      <c r="U204" s="334"/>
      <c r="V204" s="72"/>
      <c r="W204" s="72"/>
      <c r="X204" s="72"/>
      <c r="Y204" s="72"/>
      <c r="Z204" s="72"/>
      <c r="AA204" s="54"/>
      <c r="AB204" s="355"/>
      <c r="AC204" s="355"/>
      <c r="AD204" s="355"/>
      <c r="AE204" s="355"/>
    </row>
    <row r="208" spans="1:31" ht="11.25" customHeight="1">
      <c r="A208" s="616"/>
      <c r="B208" s="24"/>
      <c r="K208" s="24"/>
      <c r="N208" s="24"/>
      <c r="O208" s="24"/>
      <c r="P208" s="24"/>
      <c r="Q208" s="24"/>
      <c r="S208" s="24"/>
      <c r="T208" s="24"/>
      <c r="U208" s="24"/>
      <c r="V208" s="24"/>
      <c r="W208" s="24"/>
      <c r="X208" s="24"/>
      <c r="Y208" s="24"/>
      <c r="Z208" s="24"/>
      <c r="AA208" s="24"/>
      <c r="AB208" s="24"/>
      <c r="AC208" s="24"/>
      <c r="AD208" s="24"/>
      <c r="AE208" s="24"/>
    </row>
    <row r="209" spans="1:31" ht="11.25" customHeight="1">
      <c r="A209" s="616"/>
      <c r="B209" s="24"/>
      <c r="K209" s="24"/>
      <c r="N209" s="24"/>
      <c r="O209" s="24"/>
      <c r="P209" s="24"/>
      <c r="Q209" s="24"/>
      <c r="S209" s="24"/>
      <c r="T209" s="24"/>
      <c r="U209" s="24"/>
      <c r="V209" s="24"/>
      <c r="W209" s="24"/>
      <c r="X209" s="24"/>
      <c r="Y209" s="24"/>
      <c r="Z209" s="24"/>
      <c r="AA209" s="24"/>
      <c r="AB209" s="24"/>
      <c r="AC209" s="24"/>
      <c r="AD209" s="24"/>
      <c r="AE209" s="24"/>
    </row>
    <row r="210" spans="1:31" ht="11.25" customHeight="1">
      <c r="A210" s="616"/>
      <c r="B210" s="24"/>
      <c r="K210" s="24"/>
      <c r="N210" s="24"/>
      <c r="O210" s="24"/>
      <c r="P210" s="24"/>
      <c r="Q210" s="24"/>
      <c r="S210" s="24"/>
      <c r="T210" s="24"/>
      <c r="U210" s="24"/>
      <c r="V210" s="24"/>
      <c r="W210" s="24"/>
      <c r="X210" s="24"/>
      <c r="Y210" s="24"/>
      <c r="Z210" s="24"/>
      <c r="AA210" s="24"/>
      <c r="AB210" s="24"/>
      <c r="AC210" s="24"/>
      <c r="AD210" s="24"/>
      <c r="AE210" s="24"/>
    </row>
    <row r="211" spans="1:31" ht="11.25" customHeight="1">
      <c r="A211" s="616"/>
      <c r="B211" s="24"/>
      <c r="K211" s="24"/>
      <c r="N211" s="24"/>
      <c r="O211" s="24"/>
      <c r="P211" s="24"/>
      <c r="Q211" s="24"/>
      <c r="S211" s="24"/>
      <c r="T211" s="24"/>
      <c r="U211" s="24"/>
      <c r="V211" s="24"/>
      <c r="W211" s="24"/>
      <c r="X211" s="24"/>
      <c r="Y211" s="24"/>
      <c r="Z211" s="24"/>
      <c r="AA211" s="24"/>
      <c r="AB211" s="24"/>
      <c r="AC211" s="24"/>
      <c r="AD211" s="24"/>
      <c r="AE211" s="24"/>
    </row>
    <row r="212" spans="1:31" ht="11.25" customHeight="1">
      <c r="A212" s="616"/>
      <c r="B212" s="24"/>
      <c r="K212" s="24"/>
      <c r="N212" s="24"/>
      <c r="O212" s="24"/>
      <c r="P212" s="24"/>
      <c r="Q212" s="24"/>
      <c r="S212" s="24"/>
      <c r="T212" s="24"/>
      <c r="U212" s="24"/>
      <c r="V212" s="24"/>
      <c r="W212" s="24"/>
      <c r="X212" s="24"/>
      <c r="Y212" s="24"/>
      <c r="Z212" s="24"/>
      <c r="AA212" s="24"/>
      <c r="AB212" s="24"/>
      <c r="AC212" s="24"/>
      <c r="AD212" s="24"/>
      <c r="AE212" s="24"/>
    </row>
    <row r="213" spans="1:31" ht="11.25" customHeight="1">
      <c r="A213" s="616"/>
      <c r="B213" s="24"/>
      <c r="K213" s="24"/>
      <c r="N213" s="24"/>
      <c r="O213" s="24"/>
      <c r="P213" s="24"/>
      <c r="Q213" s="24"/>
      <c r="S213" s="24"/>
      <c r="T213" s="24"/>
      <c r="U213" s="24"/>
      <c r="V213" s="24"/>
      <c r="W213" s="24"/>
      <c r="X213" s="24"/>
      <c r="Y213" s="24"/>
      <c r="Z213" s="24"/>
      <c r="AA213" s="24"/>
      <c r="AB213" s="24"/>
      <c r="AC213" s="24"/>
      <c r="AD213" s="24"/>
      <c r="AE213" s="24"/>
    </row>
    <row r="214" spans="1:31" ht="11.25" customHeight="1">
      <c r="A214" s="616"/>
      <c r="B214" s="24"/>
      <c r="K214" s="24"/>
      <c r="N214" s="24"/>
      <c r="O214" s="24"/>
      <c r="P214" s="24"/>
      <c r="Q214" s="24"/>
      <c r="S214" s="24"/>
      <c r="T214" s="24"/>
      <c r="U214" s="24"/>
      <c r="V214" s="24"/>
      <c r="W214" s="24"/>
      <c r="X214" s="24"/>
      <c r="Y214" s="24"/>
      <c r="Z214" s="24"/>
      <c r="AA214" s="24"/>
      <c r="AB214" s="24"/>
      <c r="AC214" s="24"/>
      <c r="AD214" s="24"/>
      <c r="AE214" s="24"/>
    </row>
    <row r="215" spans="1:31" ht="11.25" customHeight="1">
      <c r="A215" s="616"/>
      <c r="B215" s="24"/>
      <c r="K215" s="24"/>
      <c r="N215" s="24"/>
      <c r="O215" s="24"/>
      <c r="P215" s="24"/>
      <c r="Q215" s="24"/>
      <c r="S215" s="24"/>
      <c r="T215" s="24"/>
      <c r="U215" s="24"/>
      <c r="V215" s="24"/>
      <c r="W215" s="24"/>
      <c r="X215" s="24"/>
      <c r="Y215" s="24"/>
      <c r="Z215" s="24"/>
      <c r="AA215" s="24"/>
      <c r="AB215" s="24"/>
      <c r="AC215" s="24"/>
      <c r="AD215" s="24"/>
      <c r="AE215" s="24"/>
    </row>
    <row r="216" spans="1:31" ht="11.25" customHeight="1">
      <c r="A216" s="616"/>
      <c r="B216" s="24"/>
      <c r="K216" s="24"/>
      <c r="N216" s="24"/>
      <c r="O216" s="24"/>
      <c r="P216" s="24"/>
      <c r="Q216" s="24"/>
      <c r="S216" s="24"/>
      <c r="T216" s="24"/>
      <c r="U216" s="24"/>
      <c r="V216" s="24"/>
      <c r="W216" s="24"/>
      <c r="X216" s="24"/>
      <c r="Y216" s="24"/>
      <c r="Z216" s="24"/>
      <c r="AA216" s="24"/>
      <c r="AB216" s="24"/>
      <c r="AC216" s="24"/>
      <c r="AD216" s="24"/>
      <c r="AE216" s="24"/>
    </row>
    <row r="217" spans="1:31" ht="11.25" customHeight="1">
      <c r="A217" s="616"/>
      <c r="B217" s="24"/>
      <c r="K217" s="24"/>
      <c r="N217" s="24"/>
      <c r="O217" s="24"/>
      <c r="P217" s="24"/>
      <c r="Q217" s="24"/>
      <c r="S217" s="24"/>
      <c r="T217" s="24"/>
      <c r="U217" s="24"/>
      <c r="V217" s="24"/>
      <c r="W217" s="24"/>
      <c r="X217" s="24"/>
      <c r="Y217" s="24"/>
      <c r="Z217" s="24"/>
      <c r="AA217" s="24"/>
      <c r="AB217" s="24"/>
      <c r="AC217" s="24"/>
      <c r="AD217" s="24"/>
      <c r="AE217" s="24"/>
    </row>
    <row r="218" spans="1:31" ht="11.25" customHeight="1">
      <c r="A218" s="616"/>
      <c r="B218" s="24"/>
      <c r="K218" s="24"/>
      <c r="N218" s="24"/>
      <c r="O218" s="24"/>
      <c r="P218" s="24"/>
      <c r="Q218" s="24"/>
      <c r="S218" s="24"/>
      <c r="T218" s="24"/>
      <c r="U218" s="24"/>
      <c r="V218" s="24"/>
      <c r="W218" s="24"/>
      <c r="X218" s="24"/>
      <c r="Y218" s="24"/>
      <c r="Z218" s="24"/>
      <c r="AA218" s="24"/>
      <c r="AB218" s="24"/>
      <c r="AC218" s="24"/>
      <c r="AD218" s="24"/>
      <c r="AE218" s="24"/>
    </row>
  </sheetData>
  <sheetProtection formatColumns="0" formatRows="0" insertRows="0" deleteColumns="0" deleteRows="0" sort="0" autoFilter="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900-000000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9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xr:uid="{00000000-0002-0000-2900-000002000000}">
      <formula1>900</formula1>
    </dataValidation>
    <dataValidation type="decimal" allowBlank="1" showErrorMessage="1" errorTitle="Ошибка" error="Допускается ввод только действительных чисел!" sqref="H36:I37" xr:uid="{00000000-0002-0000-2900-000003000000}">
      <formula1>-9.99999999999999E+23</formula1>
      <formula2>9.99999999999999E+23</formula2>
    </dataValidation>
    <dataValidation type="decimal" allowBlank="1" showErrorMessage="1" errorTitle="Ошибка" error="Допускается ввод только действительных чисел!" sqref="H40:I42" xr:uid="{00000000-0002-0000-2900-000004000000}">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3601D8-B873-B3A3-BB97-8D7FB73AEC4B}">
  <sheetPr>
    <tabColor theme="9" tint="-0.249977111117893"/>
  </sheetPr>
  <dimension ref="A1:AE209"/>
  <sheetViews>
    <sheetView showGridLines="0" topLeftCell="D5" zoomScale="90" workbookViewId="0"/>
  </sheetViews>
  <sheetFormatPr defaultColWidth="9.140625" defaultRowHeight="11.25" customHeight="1"/>
  <cols>
    <col min="1" max="1" width="10.7109375" style="613" hidden="1" customWidth="1"/>
    <col min="2" max="2" width="16.85546875" style="72" hidden="1" customWidth="1"/>
    <col min="3" max="3" width="5.5703125" style="77" hidden="1" customWidth="1"/>
    <col min="4" max="4" width="3.7109375" style="24" customWidth="1"/>
    <col min="5" max="5" width="7.7109375" style="24" customWidth="1"/>
    <col min="6" max="6" width="54.5703125" style="24" customWidth="1"/>
    <col min="7" max="7" width="10.42578125" style="24" customWidth="1"/>
    <col min="8" max="8" width="40.7109375" style="24" hidden="1" customWidth="1"/>
    <col min="9" max="9" width="40.7109375" style="24" customWidth="1"/>
    <col min="10" max="10" width="102.85546875" style="24" customWidth="1"/>
    <col min="11" max="11" width="9.7109375" style="72" customWidth="1"/>
    <col min="12" max="12" width="5.28515625" style="77" customWidth="1"/>
    <col min="13" max="13" width="3.7109375" style="77" customWidth="1"/>
    <col min="14" max="17" width="3.7109375" style="72" customWidth="1"/>
    <col min="18" max="18" width="10.5703125" style="77" customWidth="1"/>
    <col min="19" max="19" width="34.7109375" style="72" customWidth="1"/>
    <col min="20" max="20" width="9.42578125" style="72" customWidth="1"/>
    <col min="21" max="21" width="9.140625" style="334"/>
    <col min="22" max="26" width="9.140625" style="72"/>
    <col min="27" max="31" width="9.140625" style="54"/>
  </cols>
  <sheetData>
    <row r="1" spans="1:31" s="72" customFormat="1" ht="11.25" hidden="1" customHeight="1">
      <c r="A1" s="613"/>
      <c r="C1" s="77"/>
      <c r="H1" s="72">
        <v>4</v>
      </c>
      <c r="I1" s="72">
        <v>4</v>
      </c>
      <c r="L1" s="77"/>
      <c r="M1" s="77"/>
      <c r="R1" s="77"/>
    </row>
    <row r="2" spans="1:31" s="72" customFormat="1" ht="22.5" hidden="1" customHeight="1">
      <c r="A2" s="613"/>
      <c r="C2" s="77"/>
      <c r="D2" s="329"/>
      <c r="E2" s="50"/>
      <c r="F2" s="330"/>
      <c r="G2" s="50" t="s">
        <v>1723</v>
      </c>
      <c r="H2" s="331"/>
      <c r="I2" s="331"/>
      <c r="J2" s="332" t="s">
        <v>1726</v>
      </c>
      <c r="K2" s="333"/>
      <c r="L2" s="77"/>
      <c r="M2" s="77"/>
      <c r="R2" s="77"/>
      <c r="U2" s="334"/>
      <c r="AA2" s="54"/>
      <c r="AB2" s="54"/>
      <c r="AC2" s="54"/>
      <c r="AD2" s="54"/>
      <c r="AE2" s="54"/>
    </row>
    <row r="3" spans="1:31" ht="11.25" hidden="1" customHeight="1"/>
    <row r="4" spans="1:31" s="54" customFormat="1" ht="11.25" hidden="1" customHeight="1">
      <c r="A4" s="613"/>
      <c r="B4" s="72"/>
      <c r="C4" s="77"/>
      <c r="J4" s="54">
        <v>4</v>
      </c>
      <c r="K4" s="72"/>
      <c r="L4" s="77"/>
      <c r="M4" s="77"/>
      <c r="N4" s="72"/>
      <c r="O4" s="72"/>
      <c r="P4" s="72"/>
      <c r="Q4" s="72"/>
      <c r="R4" s="77"/>
      <c r="S4" s="72"/>
      <c r="T4" s="72"/>
      <c r="U4" s="334"/>
      <c r="V4" s="72"/>
      <c r="W4" s="72"/>
      <c r="X4" s="72"/>
      <c r="Y4" s="72"/>
      <c r="Z4" s="72"/>
    </row>
    <row r="6" spans="1:31" ht="24" customHeight="1">
      <c r="E6" s="1116" t="s">
        <v>1822</v>
      </c>
      <c r="F6" s="1117"/>
      <c r="G6" s="1117"/>
      <c r="H6" s="1117"/>
      <c r="I6" s="1118"/>
      <c r="J6" s="69"/>
    </row>
    <row r="7" spans="1:31" ht="24" customHeight="1">
      <c r="E7" s="1228" t="str">
        <f>IF(org=0,"Не определено",org)</f>
        <v>ООО "ТЕПЛО ПЛЮС"</v>
      </c>
      <c r="F7" s="1229"/>
      <c r="G7" s="1229"/>
      <c r="H7" s="1229"/>
      <c r="I7" s="1230"/>
    </row>
    <row r="8" spans="1:31" ht="11.25" customHeight="1">
      <c r="E8" s="710"/>
      <c r="F8" s="710"/>
      <c r="G8" s="710"/>
      <c r="H8" s="710"/>
      <c r="I8" s="710"/>
    </row>
    <row r="9" spans="1:31" s="77" customFormat="1" ht="0.75" customHeight="1">
      <c r="A9" s="338"/>
      <c r="H9" s="552"/>
      <c r="I9" s="552" t="s">
        <v>117</v>
      </c>
    </row>
    <row r="10" spans="1:31" ht="11.25" customHeight="1">
      <c r="E10" s="435"/>
      <c r="F10" s="1411" t="s">
        <v>105</v>
      </c>
      <c r="G10" s="1412"/>
      <c r="H10" s="903" t="str">
        <f>IF(H9="","",INDEX(DIFFERENTIATION_UNMERGE_VD,MATCH(H9,DIFFERENTIATION_ID_DIFF,0)))</f>
        <v/>
      </c>
      <c r="I10" s="903" t="str">
        <f>IF(I9="","",INDEX(DIFFERENTIATION_UNMERGE_VD,MATCH(I9,DIFFERENTIATION_ID_DIFF,0)))</f>
        <v>Производство тепловой энергии. Некомбинированная выработка</v>
      </c>
      <c r="J10" s="1123"/>
    </row>
    <row r="11" spans="1:31" ht="11.25" customHeight="1">
      <c r="E11" s="435"/>
      <c r="F11" s="1411" t="s">
        <v>1421</v>
      </c>
      <c r="G11" s="1412"/>
      <c r="H11" s="903" t="str">
        <f>IF(H9="","",INDEX(DIFFERENTIATION_UNMERGE_AREA,MATCH(H9,DIFFERENTIATION_ID_DIFF,0)))</f>
        <v/>
      </c>
      <c r="I11" s="903" t="str">
        <f>IF(I9="","",INDEX(DIFFERENTIATION_UNMERGE_AREA,MATCH(I9,DIFFERENTIATION_ID_DIFF,0)))</f>
        <v>без дифференциации</v>
      </c>
      <c r="J11" s="1123"/>
    </row>
    <row r="12" spans="1:31" ht="11.25" hidden="1" customHeight="1">
      <c r="E12" s="942"/>
      <c r="F12" s="1451" t="s">
        <v>1422</v>
      </c>
      <c r="G12" s="1452"/>
      <c r="H12" s="943" t="str">
        <f>IF(H9="","",INDEX(DIFFERENTIATION_UNMERGE_SYSTEM,MATCH(H9,DIFFERENTIATION_ID_DIFF,0)))</f>
        <v/>
      </c>
      <c r="I12" s="943" t="str">
        <f>IF(I9="","",INDEX(DIFFERENTIATION_UNMERGE_SYSTEM,MATCH(I9,DIFFERENTIATION_ID_DIFF,0)))</f>
        <v>без дифференциации</v>
      </c>
      <c r="J12" s="1123"/>
    </row>
    <row r="13" spans="1:31" ht="11.25" customHeight="1">
      <c r="E13" s="1413" t="s">
        <v>292</v>
      </c>
      <c r="F13" s="1414"/>
      <c r="G13" s="1414"/>
      <c r="H13" s="550"/>
      <c r="I13" s="550"/>
      <c r="J13" s="1123"/>
    </row>
    <row r="14" spans="1:31" ht="22.5" customHeight="1">
      <c r="E14" s="50" t="s">
        <v>88</v>
      </c>
      <c r="F14" s="50" t="s">
        <v>294</v>
      </c>
      <c r="G14" s="50" t="s">
        <v>1600</v>
      </c>
      <c r="H14" s="50" t="s">
        <v>295</v>
      </c>
      <c r="I14" s="50" t="s">
        <v>295</v>
      </c>
      <c r="J14" s="1123"/>
    </row>
    <row r="15" spans="1:31" ht="18.75" customHeight="1">
      <c r="D15" s="214"/>
      <c r="E15" s="940" t="s">
        <v>109</v>
      </c>
      <c r="F15" s="157" t="s">
        <v>1823</v>
      </c>
      <c r="G15" s="50" t="s">
        <v>1723</v>
      </c>
      <c r="H15" s="346"/>
      <c r="I15" s="346"/>
      <c r="J15" s="76" t="s">
        <v>1824</v>
      </c>
      <c r="K15" s="333" t="s">
        <v>1775</v>
      </c>
    </row>
    <row r="16" spans="1:31" ht="22.5" customHeight="1">
      <c r="D16" s="214"/>
      <c r="E16" s="940" t="s">
        <v>110</v>
      </c>
      <c r="F16" s="923" t="s">
        <v>1825</v>
      </c>
      <c r="G16" s="50" t="s">
        <v>1723</v>
      </c>
      <c r="H16" s="347">
        <f>SUM(H17,H20:H27)</f>
        <v>0</v>
      </c>
      <c r="I16" s="347">
        <f>SUM(I17,I20:I27)</f>
        <v>0</v>
      </c>
      <c r="J16" s="76" t="s">
        <v>1826</v>
      </c>
      <c r="K16" s="333" t="s">
        <v>1775</v>
      </c>
    </row>
    <row r="17" spans="1:31" ht="33.75" customHeight="1">
      <c r="D17" s="214"/>
      <c r="E17" s="944" t="s">
        <v>505</v>
      </c>
      <c r="F17" s="421" t="s">
        <v>1827</v>
      </c>
      <c r="G17" s="422" t="s">
        <v>1723</v>
      </c>
      <c r="H17" s="346"/>
      <c r="I17" s="346"/>
      <c r="J17" s="76" t="s">
        <v>1828</v>
      </c>
      <c r="K17" s="333"/>
    </row>
    <row r="18" spans="1:31" ht="18.75" customHeight="1">
      <c r="D18" s="214"/>
      <c r="E18" s="944" t="s">
        <v>1458</v>
      </c>
      <c r="F18" s="762" t="s">
        <v>1829</v>
      </c>
      <c r="G18" s="422" t="s">
        <v>1723</v>
      </c>
      <c r="H18" s="346"/>
      <c r="I18" s="346"/>
      <c r="J18" s="76"/>
      <c r="K18" s="333"/>
    </row>
    <row r="19" spans="1:31" ht="22.5" customHeight="1">
      <c r="D19" s="214"/>
      <c r="E19" s="944" t="s">
        <v>1782</v>
      </c>
      <c r="F19" s="762" t="s">
        <v>1830</v>
      </c>
      <c r="G19" s="422" t="s">
        <v>1723</v>
      </c>
      <c r="H19" s="346"/>
      <c r="I19" s="346"/>
      <c r="J19" s="76"/>
      <c r="K19" s="333"/>
    </row>
    <row r="20" spans="1:31" ht="33.75" customHeight="1">
      <c r="D20" s="214"/>
      <c r="E20" s="944" t="s">
        <v>299</v>
      </c>
      <c r="F20" s="421" t="s">
        <v>1831</v>
      </c>
      <c r="G20" s="422" t="s">
        <v>1723</v>
      </c>
      <c r="H20" s="346"/>
      <c r="I20" s="346"/>
      <c r="J20" s="76"/>
      <c r="K20" s="333"/>
    </row>
    <row r="21" spans="1:31" ht="33.75" customHeight="1">
      <c r="D21" s="214"/>
      <c r="E21" s="944" t="s">
        <v>302</v>
      </c>
      <c r="F21" s="421" t="s">
        <v>1832</v>
      </c>
      <c r="G21" s="422" t="s">
        <v>1723</v>
      </c>
      <c r="H21" s="346"/>
      <c r="I21" s="346"/>
      <c r="J21" s="76"/>
      <c r="K21" s="333"/>
    </row>
    <row r="22" spans="1:31" ht="56.25" customHeight="1">
      <c r="D22" s="214"/>
      <c r="E22" s="944" t="s">
        <v>514</v>
      </c>
      <c r="F22" s="421" t="s">
        <v>1833</v>
      </c>
      <c r="G22" s="422" t="s">
        <v>1723</v>
      </c>
      <c r="H22" s="346"/>
      <c r="I22" s="346"/>
      <c r="J22" s="76"/>
      <c r="K22" s="333"/>
    </row>
    <row r="23" spans="1:31" ht="33.75" customHeight="1">
      <c r="D23" s="214"/>
      <c r="E23" s="944" t="s">
        <v>516</v>
      </c>
      <c r="F23" s="421" t="s">
        <v>1834</v>
      </c>
      <c r="G23" s="422" t="s">
        <v>1723</v>
      </c>
      <c r="H23" s="346"/>
      <c r="I23" s="346"/>
      <c r="J23" s="76"/>
      <c r="K23" s="333"/>
    </row>
    <row r="24" spans="1:31" ht="33.75" customHeight="1">
      <c r="D24" s="214"/>
      <c r="E24" s="944" t="s">
        <v>530</v>
      </c>
      <c r="F24" s="421" t="s">
        <v>1835</v>
      </c>
      <c r="G24" s="422" t="s">
        <v>1723</v>
      </c>
      <c r="H24" s="346"/>
      <c r="I24" s="346"/>
      <c r="J24" s="76"/>
      <c r="K24" s="333"/>
    </row>
    <row r="25" spans="1:31" ht="22.5" customHeight="1">
      <c r="D25" s="214"/>
      <c r="E25" s="944" t="s">
        <v>541</v>
      </c>
      <c r="F25" s="421" t="s">
        <v>1836</v>
      </c>
      <c r="G25" s="422" t="s">
        <v>1723</v>
      </c>
      <c r="H25" s="346"/>
      <c r="I25" s="346"/>
      <c r="J25" s="76"/>
      <c r="K25" s="333"/>
    </row>
    <row r="26" spans="1:31" ht="67.5" customHeight="1">
      <c r="D26" s="214"/>
      <c r="E26" s="944" t="s">
        <v>552</v>
      </c>
      <c r="F26" s="421" t="s">
        <v>1837</v>
      </c>
      <c r="G26" s="422" t="s">
        <v>1723</v>
      </c>
      <c r="H26" s="346"/>
      <c r="I26" s="346"/>
      <c r="J26" s="76"/>
      <c r="K26" s="333"/>
    </row>
    <row r="27" spans="1:31" s="72" customFormat="1" ht="22.5" customHeight="1">
      <c r="A27" s="613"/>
      <c r="C27" s="77"/>
      <c r="D27" s="214"/>
      <c r="E27" s="939" t="s">
        <v>560</v>
      </c>
      <c r="F27" s="938" t="s">
        <v>1838</v>
      </c>
      <c r="G27" s="366" t="s">
        <v>1723</v>
      </c>
      <c r="H27" s="367">
        <f>SUM(H28:H29)</f>
        <v>0</v>
      </c>
      <c r="I27" s="367">
        <f>SUM(I28:I29)</f>
        <v>0</v>
      </c>
      <c r="J27" s="76" t="s">
        <v>1800</v>
      </c>
      <c r="K27" s="333"/>
      <c r="L27" s="77"/>
      <c r="M27" s="77"/>
      <c r="R27" s="77"/>
      <c r="U27" s="334"/>
      <c r="AA27" s="54"/>
      <c r="AB27" s="54"/>
      <c r="AC27" s="54"/>
      <c r="AD27" s="54"/>
      <c r="AE27" s="54"/>
    </row>
    <row r="28" spans="1:31" s="77" customFormat="1" ht="0.75" customHeight="1">
      <c r="A28" s="338"/>
      <c r="D28" s="338"/>
      <c r="E28" s="341" t="str">
        <f>E27&amp;".0"</f>
        <v>2.9.0</v>
      </c>
      <c r="F28" s="617"/>
      <c r="G28" s="341"/>
      <c r="H28" s="618"/>
      <c r="I28" s="618"/>
      <c r="J28" s="619"/>
    </row>
    <row r="29" spans="1:31" s="72" customFormat="1" ht="18.75" customHeight="1">
      <c r="A29" s="613"/>
      <c r="C29" s="77"/>
      <c r="D29" s="86"/>
      <c r="E29" s="359"/>
      <c r="F29" s="945" t="s">
        <v>1741</v>
      </c>
      <c r="G29" s="360"/>
      <c r="H29" s="361"/>
      <c r="I29" s="361"/>
      <c r="J29" s="180" t="s">
        <v>1801</v>
      </c>
      <c r="K29" s="333"/>
      <c r="L29" s="77"/>
      <c r="M29" s="77"/>
      <c r="R29" s="77"/>
      <c r="U29" s="334"/>
      <c r="AA29" s="54"/>
      <c r="AB29" s="54"/>
      <c r="AC29" s="54"/>
      <c r="AD29" s="54"/>
      <c r="AE29" s="54"/>
    </row>
    <row r="30" spans="1:31" s="72" customFormat="1" ht="22.5" customHeight="1">
      <c r="A30" s="613"/>
      <c r="C30" s="77"/>
      <c r="D30" s="214"/>
      <c r="E30" s="944" t="s">
        <v>90</v>
      </c>
      <c r="F30" s="196" t="s">
        <v>1839</v>
      </c>
      <c r="G30" s="422" t="s">
        <v>1723</v>
      </c>
      <c r="H30" s="346"/>
      <c r="I30" s="346"/>
      <c r="J30" s="76"/>
      <c r="K30" s="333"/>
      <c r="L30" s="77"/>
      <c r="M30" s="77"/>
      <c r="R30" s="77"/>
      <c r="U30" s="334"/>
      <c r="AA30" s="54"/>
      <c r="AB30" s="54"/>
      <c r="AC30" s="54"/>
      <c r="AD30" s="54"/>
      <c r="AE30" s="54"/>
    </row>
    <row r="31" spans="1:31" s="72" customFormat="1" ht="33.75" customHeight="1">
      <c r="A31" s="613"/>
      <c r="C31" s="77"/>
      <c r="D31" s="363"/>
      <c r="E31" s="944" t="s">
        <v>91</v>
      </c>
      <c r="F31" s="196" t="s">
        <v>1840</v>
      </c>
      <c r="G31" s="422" t="s">
        <v>1723</v>
      </c>
      <c r="H31" s="346"/>
      <c r="I31" s="346"/>
      <c r="J31" s="76" t="s">
        <v>1841</v>
      </c>
      <c r="K31" s="333"/>
      <c r="L31" s="77"/>
      <c r="M31" s="77"/>
      <c r="R31" s="77"/>
      <c r="U31" s="334"/>
      <c r="AA31" s="54"/>
      <c r="AB31" s="54"/>
      <c r="AC31" s="54"/>
      <c r="AD31" s="54"/>
      <c r="AE31" s="54"/>
    </row>
    <row r="32" spans="1:31" s="72" customFormat="1" ht="22.5" customHeight="1">
      <c r="A32" s="613"/>
      <c r="C32" s="77"/>
      <c r="D32" s="214"/>
      <c r="E32" s="944" t="s">
        <v>613</v>
      </c>
      <c r="F32" s="421" t="s">
        <v>1808</v>
      </c>
      <c r="G32" s="422" t="s">
        <v>1723</v>
      </c>
      <c r="H32" s="346"/>
      <c r="I32" s="346"/>
      <c r="J32" s="76" t="s">
        <v>1842</v>
      </c>
      <c r="K32" s="333"/>
      <c r="L32" s="77"/>
      <c r="M32" s="77"/>
      <c r="R32" s="77"/>
      <c r="U32" s="334"/>
      <c r="AA32" s="54"/>
      <c r="AB32" s="54"/>
      <c r="AC32" s="54"/>
      <c r="AD32" s="54"/>
      <c r="AE32" s="54"/>
    </row>
    <row r="33" spans="1:31" s="72" customFormat="1" ht="22.5" customHeight="1">
      <c r="A33" s="613"/>
      <c r="C33" s="77"/>
      <c r="D33" s="214"/>
      <c r="E33" s="944" t="s">
        <v>632</v>
      </c>
      <c r="F33" s="421" t="s">
        <v>1843</v>
      </c>
      <c r="G33" s="422" t="s">
        <v>1723</v>
      </c>
      <c r="H33" s="346"/>
      <c r="I33" s="346"/>
      <c r="J33" s="76" t="s">
        <v>1844</v>
      </c>
      <c r="K33" s="333"/>
      <c r="L33" s="77"/>
      <c r="M33" s="77"/>
      <c r="R33" s="77"/>
      <c r="U33" s="334"/>
      <c r="AA33" s="54"/>
      <c r="AB33" s="54"/>
      <c r="AC33" s="54"/>
      <c r="AD33" s="54"/>
      <c r="AE33" s="54"/>
    </row>
    <row r="34" spans="1:31" s="72" customFormat="1" ht="22.5" customHeight="1">
      <c r="A34" s="613"/>
      <c r="C34" s="77"/>
      <c r="D34" s="214"/>
      <c r="E34" s="944" t="s">
        <v>1615</v>
      </c>
      <c r="F34" s="421" t="s">
        <v>1811</v>
      </c>
      <c r="G34" s="422" t="s">
        <v>1723</v>
      </c>
      <c r="H34" s="346"/>
      <c r="I34" s="346"/>
      <c r="J34" s="76" t="s">
        <v>1845</v>
      </c>
      <c r="K34" s="333"/>
      <c r="L34" s="77"/>
      <c r="M34" s="77"/>
      <c r="R34" s="77"/>
      <c r="U34" s="334"/>
      <c r="AA34" s="54"/>
      <c r="AB34" s="54"/>
      <c r="AC34" s="54"/>
      <c r="AD34" s="54"/>
      <c r="AE34" s="54"/>
    </row>
    <row r="35" spans="1:31" s="72" customFormat="1" ht="33.75" customHeight="1">
      <c r="A35" s="613"/>
      <c r="C35" s="77" t="s">
        <v>1750</v>
      </c>
      <c r="D35" s="214"/>
      <c r="E35" s="944" t="s">
        <v>111</v>
      </c>
      <c r="F35" s="196" t="s">
        <v>638</v>
      </c>
      <c r="G35" s="50" t="s">
        <v>298</v>
      </c>
      <c r="H35" s="250"/>
      <c r="I35" s="250"/>
      <c r="J35" s="76" t="s">
        <v>1846</v>
      </c>
      <c r="K35" s="333"/>
      <c r="L35" s="77"/>
      <c r="M35" s="77"/>
      <c r="R35" s="77"/>
      <c r="U35" s="334"/>
      <c r="AA35" s="54"/>
      <c r="AB35" s="54"/>
      <c r="AC35" s="54"/>
      <c r="AD35" s="54"/>
      <c r="AE35" s="54"/>
    </row>
    <row r="36" spans="1:31" s="72" customFormat="1" ht="22.5" customHeight="1">
      <c r="A36" s="613"/>
      <c r="C36" s="77"/>
      <c r="D36" s="214"/>
      <c r="E36" s="944" t="s">
        <v>92</v>
      </c>
      <c r="F36" s="196" t="s">
        <v>1847</v>
      </c>
      <c r="G36" s="422" t="s">
        <v>1816</v>
      </c>
      <c r="H36" s="335"/>
      <c r="I36" s="335"/>
      <c r="J36" s="76" t="s">
        <v>1817</v>
      </c>
      <c r="K36" s="333"/>
      <c r="L36" s="77"/>
      <c r="M36" s="77"/>
      <c r="R36" s="77"/>
      <c r="U36" s="334"/>
      <c r="AA36" s="54"/>
      <c r="AB36" s="54"/>
      <c r="AC36" s="54"/>
      <c r="AD36" s="54"/>
      <c r="AE36" s="54"/>
    </row>
    <row r="37" spans="1:31" s="72" customFormat="1" ht="22.5" customHeight="1">
      <c r="A37" s="613"/>
      <c r="C37" s="77"/>
      <c r="D37" s="214"/>
      <c r="E37" s="944" t="s">
        <v>93</v>
      </c>
      <c r="F37" s="196" t="s">
        <v>1848</v>
      </c>
      <c r="G37" s="422" t="s">
        <v>1819</v>
      </c>
      <c r="H37" s="335"/>
      <c r="I37" s="335"/>
      <c r="J37" s="76" t="s">
        <v>1820</v>
      </c>
      <c r="K37" s="333"/>
      <c r="L37" s="77"/>
      <c r="M37" s="77"/>
      <c r="R37" s="77"/>
      <c r="U37" s="334"/>
      <c r="AA37" s="54"/>
      <c r="AB37" s="54"/>
      <c r="AC37" s="54"/>
      <c r="AD37" s="54"/>
      <c r="AE37" s="54"/>
    </row>
    <row r="38" spans="1:31" ht="11.25" customHeight="1">
      <c r="D38" s="214"/>
    </row>
    <row r="39" spans="1:31" ht="26.25" customHeight="1">
      <c r="D39" s="214"/>
      <c r="E39" s="210" t="s">
        <v>1510</v>
      </c>
      <c r="F39" s="1336" t="s">
        <v>1849</v>
      </c>
      <c r="G39" s="1336"/>
      <c r="H39" s="1336"/>
      <c r="I39" s="1336"/>
      <c r="J39" s="1336"/>
    </row>
    <row r="40" spans="1:31" s="216" customFormat="1" ht="37.5" customHeight="1">
      <c r="A40" s="613"/>
      <c r="B40" s="77"/>
      <c r="C40" s="77"/>
      <c r="F40" s="1336" t="s">
        <v>1850</v>
      </c>
      <c r="G40" s="1336"/>
      <c r="H40" s="1336"/>
      <c r="I40" s="1336"/>
      <c r="J40" s="1336"/>
      <c r="K40" s="72"/>
      <c r="L40" s="77"/>
      <c r="M40" s="77"/>
      <c r="N40" s="72"/>
      <c r="O40" s="72"/>
      <c r="P40" s="72"/>
      <c r="Q40" s="72"/>
      <c r="R40" s="77"/>
      <c r="S40" s="72"/>
      <c r="T40" s="72"/>
      <c r="U40" s="334"/>
      <c r="V40" s="72"/>
      <c r="W40" s="72"/>
      <c r="X40" s="72"/>
      <c r="Y40" s="72"/>
      <c r="Z40" s="72"/>
      <c r="AA40" s="54"/>
      <c r="AB40" s="355"/>
      <c r="AC40" s="355"/>
      <c r="AD40" s="355"/>
      <c r="AE40" s="355"/>
    </row>
    <row r="41" spans="1:31" s="216" customFormat="1" ht="11.25" customHeight="1">
      <c r="A41" s="613"/>
      <c r="B41" s="77"/>
      <c r="C41" s="77"/>
      <c r="K41" s="72"/>
      <c r="L41" s="77"/>
      <c r="M41" s="77"/>
      <c r="N41" s="72"/>
      <c r="O41" s="72"/>
      <c r="P41" s="72"/>
      <c r="Q41" s="72"/>
      <c r="R41" s="77"/>
      <c r="S41" s="72"/>
      <c r="T41" s="72"/>
      <c r="U41" s="334"/>
      <c r="V41" s="72"/>
      <c r="W41" s="72"/>
      <c r="X41" s="72"/>
      <c r="Y41" s="72"/>
      <c r="Z41" s="72"/>
      <c r="AA41" s="54"/>
      <c r="AB41" s="355"/>
      <c r="AC41" s="355"/>
      <c r="AD41" s="355"/>
      <c r="AE41" s="355"/>
    </row>
    <row r="42" spans="1:31" s="216" customFormat="1" ht="11.25" customHeight="1">
      <c r="A42" s="613"/>
      <c r="B42" s="77"/>
      <c r="C42" s="77"/>
      <c r="K42" s="72"/>
      <c r="L42" s="77"/>
      <c r="M42" s="77"/>
      <c r="N42" s="72"/>
      <c r="O42" s="72"/>
      <c r="P42" s="72"/>
      <c r="Q42" s="72"/>
      <c r="R42" s="77"/>
      <c r="S42" s="72"/>
      <c r="T42" s="72"/>
      <c r="U42" s="334"/>
      <c r="V42" s="72"/>
      <c r="W42" s="72"/>
      <c r="X42" s="72"/>
      <c r="Y42" s="72"/>
      <c r="Z42" s="72"/>
      <c r="AA42" s="54"/>
      <c r="AB42" s="355"/>
      <c r="AC42" s="355"/>
      <c r="AD42" s="355"/>
      <c r="AE42" s="355"/>
    </row>
    <row r="43" spans="1:31" s="216" customFormat="1" ht="11.25" customHeight="1">
      <c r="A43" s="613"/>
      <c r="B43" s="77"/>
      <c r="C43" s="77"/>
      <c r="H43" s="355"/>
      <c r="I43" s="355"/>
      <c r="K43" s="72"/>
      <c r="L43" s="77"/>
      <c r="M43" s="77"/>
      <c r="N43" s="72"/>
      <c r="O43" s="72"/>
      <c r="P43" s="72"/>
      <c r="Q43" s="72"/>
      <c r="R43" s="77"/>
      <c r="S43" s="72"/>
      <c r="T43" s="72"/>
      <c r="U43" s="334"/>
      <c r="V43" s="72"/>
      <c r="W43" s="72"/>
      <c r="X43" s="72"/>
      <c r="Y43" s="72"/>
      <c r="Z43" s="72"/>
      <c r="AA43" s="54"/>
      <c r="AB43" s="355"/>
      <c r="AC43" s="355"/>
      <c r="AD43" s="355"/>
      <c r="AE43" s="355"/>
    </row>
    <row r="44" spans="1:31" s="216" customFormat="1" ht="11.25" customHeight="1">
      <c r="A44" s="613"/>
      <c r="B44" s="77"/>
      <c r="C44" s="77"/>
      <c r="K44" s="72"/>
      <c r="L44" s="77"/>
      <c r="M44" s="77"/>
      <c r="N44" s="72"/>
      <c r="O44" s="72"/>
      <c r="P44" s="72"/>
      <c r="Q44" s="72"/>
      <c r="R44" s="77"/>
      <c r="S44" s="72"/>
      <c r="T44" s="72"/>
      <c r="U44" s="334"/>
      <c r="V44" s="72"/>
      <c r="W44" s="72"/>
      <c r="X44" s="72"/>
      <c r="Y44" s="72"/>
      <c r="Z44" s="72"/>
      <c r="AA44" s="54"/>
      <c r="AB44" s="355"/>
      <c r="AC44" s="355"/>
      <c r="AD44" s="355"/>
      <c r="AE44" s="355"/>
    </row>
    <row r="45" spans="1:31" s="216" customFormat="1" ht="11.25" customHeight="1">
      <c r="A45" s="613"/>
      <c r="B45" s="77"/>
      <c r="C45" s="77"/>
      <c r="K45" s="72"/>
      <c r="L45" s="77"/>
      <c r="M45" s="77"/>
      <c r="N45" s="72"/>
      <c r="O45" s="72"/>
      <c r="P45" s="72"/>
      <c r="Q45" s="72"/>
      <c r="R45" s="77"/>
      <c r="S45" s="72"/>
      <c r="T45" s="72"/>
      <c r="U45" s="334"/>
      <c r="V45" s="72"/>
      <c r="W45" s="72"/>
      <c r="X45" s="72"/>
      <c r="Y45" s="72"/>
      <c r="Z45" s="72"/>
      <c r="AA45" s="54"/>
      <c r="AB45" s="355"/>
      <c r="AC45" s="355"/>
      <c r="AD45" s="355"/>
      <c r="AE45" s="355"/>
    </row>
    <row r="46" spans="1:31" s="216" customFormat="1" ht="11.25" customHeight="1">
      <c r="A46" s="613"/>
      <c r="B46" s="77"/>
      <c r="C46" s="77"/>
      <c r="K46" s="72"/>
      <c r="L46" s="77"/>
      <c r="M46" s="77"/>
      <c r="N46" s="72"/>
      <c r="O46" s="72"/>
      <c r="P46" s="72"/>
      <c r="Q46" s="72"/>
      <c r="R46" s="77"/>
      <c r="S46" s="72"/>
      <c r="T46" s="72"/>
      <c r="U46" s="334"/>
      <c r="V46" s="72"/>
      <c r="W46" s="72"/>
      <c r="X46" s="72"/>
      <c r="Y46" s="72"/>
      <c r="Z46" s="72"/>
      <c r="AA46" s="54"/>
      <c r="AB46" s="355"/>
      <c r="AC46" s="355"/>
      <c r="AD46" s="355"/>
      <c r="AE46" s="355"/>
    </row>
    <row r="47" spans="1:31" s="216" customFormat="1" ht="11.25" customHeight="1">
      <c r="A47" s="613"/>
      <c r="B47" s="77"/>
      <c r="C47" s="77"/>
      <c r="K47" s="72"/>
      <c r="L47" s="77"/>
      <c r="M47" s="77"/>
      <c r="N47" s="72"/>
      <c r="O47" s="72"/>
      <c r="P47" s="72"/>
      <c r="Q47" s="72"/>
      <c r="R47" s="77"/>
      <c r="S47" s="72"/>
      <c r="T47" s="72"/>
      <c r="U47" s="334"/>
      <c r="V47" s="72"/>
      <c r="W47" s="72"/>
      <c r="X47" s="72"/>
      <c r="Y47" s="72"/>
      <c r="Z47" s="72"/>
      <c r="AA47" s="54"/>
      <c r="AB47" s="355"/>
      <c r="AC47" s="355"/>
      <c r="AD47" s="355"/>
      <c r="AE47" s="355"/>
    </row>
    <row r="48" spans="1:31" s="216" customFormat="1" ht="11.25" customHeight="1">
      <c r="A48" s="613"/>
      <c r="B48" s="77"/>
      <c r="C48" s="77"/>
      <c r="K48" s="72"/>
      <c r="L48" s="77"/>
      <c r="M48" s="77"/>
      <c r="N48" s="72"/>
      <c r="O48" s="72"/>
      <c r="P48" s="72"/>
      <c r="Q48" s="72"/>
      <c r="R48" s="77"/>
      <c r="S48" s="72"/>
      <c r="T48" s="72"/>
      <c r="U48" s="334"/>
      <c r="V48" s="72"/>
      <c r="W48" s="72"/>
      <c r="X48" s="72"/>
      <c r="Y48" s="72"/>
      <c r="Z48" s="72"/>
      <c r="AA48" s="54"/>
      <c r="AB48" s="355"/>
      <c r="AC48" s="355"/>
      <c r="AD48" s="355"/>
      <c r="AE48" s="355"/>
    </row>
    <row r="49" spans="1:31" s="216" customFormat="1" ht="11.25" customHeight="1">
      <c r="A49" s="613"/>
      <c r="B49" s="77"/>
      <c r="C49" s="77"/>
      <c r="K49" s="72"/>
      <c r="L49" s="77"/>
      <c r="M49" s="77"/>
      <c r="N49" s="72"/>
      <c r="O49" s="72"/>
      <c r="P49" s="72"/>
      <c r="Q49" s="72"/>
      <c r="R49" s="77"/>
      <c r="S49" s="72"/>
      <c r="T49" s="72"/>
      <c r="U49" s="334"/>
      <c r="V49" s="72"/>
      <c r="W49" s="72"/>
      <c r="X49" s="72"/>
      <c r="Y49" s="72"/>
      <c r="Z49" s="72"/>
      <c r="AA49" s="54"/>
      <c r="AB49" s="355"/>
      <c r="AC49" s="355"/>
      <c r="AD49" s="355"/>
      <c r="AE49" s="355"/>
    </row>
    <row r="50" spans="1:31" s="216" customFormat="1" ht="11.25" customHeight="1">
      <c r="A50" s="613"/>
      <c r="B50" s="77"/>
      <c r="C50" s="77"/>
      <c r="K50" s="72"/>
      <c r="L50" s="77"/>
      <c r="M50" s="77"/>
      <c r="N50" s="72"/>
      <c r="O50" s="72"/>
      <c r="P50" s="72"/>
      <c r="Q50" s="72"/>
      <c r="R50" s="77"/>
      <c r="S50" s="72"/>
      <c r="T50" s="72"/>
      <c r="U50" s="334"/>
      <c r="V50" s="72"/>
      <c r="W50" s="72"/>
      <c r="X50" s="72"/>
      <c r="Y50" s="72"/>
      <c r="Z50" s="72"/>
      <c r="AA50" s="54"/>
      <c r="AB50" s="355"/>
      <c r="AC50" s="355"/>
      <c r="AD50" s="355"/>
      <c r="AE50" s="355"/>
    </row>
    <row r="51" spans="1:31" s="216" customFormat="1" ht="11.25" customHeight="1">
      <c r="A51" s="613"/>
      <c r="B51" s="77"/>
      <c r="C51" s="77"/>
      <c r="K51" s="72"/>
      <c r="L51" s="77"/>
      <c r="M51" s="77"/>
      <c r="N51" s="72"/>
      <c r="O51" s="72"/>
      <c r="P51" s="72"/>
      <c r="Q51" s="72"/>
      <c r="R51" s="77"/>
      <c r="S51" s="72"/>
      <c r="T51" s="72"/>
      <c r="U51" s="334"/>
      <c r="V51" s="72"/>
      <c r="W51" s="72"/>
      <c r="X51" s="72"/>
      <c r="Y51" s="72"/>
      <c r="Z51" s="72"/>
      <c r="AA51" s="54"/>
      <c r="AB51" s="355"/>
      <c r="AC51" s="355"/>
      <c r="AD51" s="355"/>
      <c r="AE51" s="355"/>
    </row>
    <row r="52" spans="1:31" s="216" customFormat="1" ht="11.25" customHeight="1">
      <c r="A52" s="613"/>
      <c r="B52" s="77"/>
      <c r="C52" s="77"/>
      <c r="K52" s="72"/>
      <c r="L52" s="77"/>
      <c r="M52" s="77"/>
      <c r="N52" s="72"/>
      <c r="O52" s="72"/>
      <c r="P52" s="72"/>
      <c r="Q52" s="72"/>
      <c r="R52" s="77"/>
      <c r="S52" s="72"/>
      <c r="T52" s="72"/>
      <c r="U52" s="334"/>
      <c r="V52" s="72"/>
      <c r="W52" s="72"/>
      <c r="X52" s="72"/>
      <c r="Y52" s="72"/>
      <c r="Z52" s="72"/>
      <c r="AA52" s="54"/>
      <c r="AB52" s="355"/>
      <c r="AC52" s="355"/>
      <c r="AD52" s="355"/>
      <c r="AE52" s="355"/>
    </row>
    <row r="53" spans="1:31" s="216" customFormat="1" ht="11.25" customHeight="1">
      <c r="A53" s="613"/>
      <c r="B53" s="77"/>
      <c r="C53" s="77"/>
      <c r="K53" s="72"/>
      <c r="L53" s="77"/>
      <c r="M53" s="77"/>
      <c r="N53" s="72"/>
      <c r="O53" s="72"/>
      <c r="P53" s="72"/>
      <c r="Q53" s="72"/>
      <c r="R53" s="77"/>
      <c r="S53" s="72"/>
      <c r="T53" s="72"/>
      <c r="U53" s="334"/>
      <c r="V53" s="72"/>
      <c r="W53" s="72"/>
      <c r="X53" s="72"/>
      <c r="Y53" s="72"/>
      <c r="Z53" s="72"/>
      <c r="AA53" s="54"/>
      <c r="AB53" s="355"/>
      <c r="AC53" s="355"/>
      <c r="AD53" s="355"/>
      <c r="AE53" s="355"/>
    </row>
    <row r="54" spans="1:31" s="216" customFormat="1" ht="11.25" customHeight="1">
      <c r="A54" s="613"/>
      <c r="B54" s="77"/>
      <c r="C54" s="77"/>
      <c r="K54" s="72"/>
      <c r="L54" s="77"/>
      <c r="M54" s="77"/>
      <c r="N54" s="72"/>
      <c r="O54" s="72"/>
      <c r="P54" s="72"/>
      <c r="Q54" s="72"/>
      <c r="R54" s="77"/>
      <c r="S54" s="72"/>
      <c r="T54" s="72"/>
      <c r="U54" s="334"/>
      <c r="V54" s="72"/>
      <c r="W54" s="72"/>
      <c r="X54" s="72"/>
      <c r="Y54" s="72"/>
      <c r="Z54" s="72"/>
      <c r="AA54" s="54"/>
      <c r="AB54" s="355"/>
      <c r="AC54" s="355"/>
      <c r="AD54" s="355"/>
      <c r="AE54" s="355"/>
    </row>
    <row r="55" spans="1:31" s="216" customFormat="1" ht="11.25" customHeight="1">
      <c r="A55" s="613"/>
      <c r="B55" s="77"/>
      <c r="C55" s="77"/>
      <c r="K55" s="72"/>
      <c r="L55" s="77"/>
      <c r="M55" s="77"/>
      <c r="N55" s="72"/>
      <c r="O55" s="72"/>
      <c r="P55" s="72"/>
      <c r="Q55" s="72"/>
      <c r="R55" s="77"/>
      <c r="S55" s="72"/>
      <c r="T55" s="72"/>
      <c r="U55" s="334"/>
      <c r="V55" s="72"/>
      <c r="W55" s="72"/>
      <c r="X55" s="72"/>
      <c r="Y55" s="72"/>
      <c r="Z55" s="72"/>
      <c r="AA55" s="54"/>
      <c r="AB55" s="355"/>
      <c r="AC55" s="355"/>
      <c r="AD55" s="355"/>
      <c r="AE55" s="355"/>
    </row>
    <row r="56" spans="1:31" s="216" customFormat="1" ht="11.25" customHeight="1">
      <c r="A56" s="613"/>
      <c r="B56" s="77"/>
      <c r="C56" s="77"/>
      <c r="K56" s="72"/>
      <c r="L56" s="77"/>
      <c r="M56" s="77"/>
      <c r="N56" s="72"/>
      <c r="O56" s="72"/>
      <c r="P56" s="72"/>
      <c r="Q56" s="72"/>
      <c r="R56" s="77"/>
      <c r="S56" s="72"/>
      <c r="T56" s="72"/>
      <c r="U56" s="334"/>
      <c r="V56" s="72"/>
      <c r="W56" s="72"/>
      <c r="X56" s="72"/>
      <c r="Y56" s="72"/>
      <c r="Z56" s="72"/>
      <c r="AA56" s="54"/>
      <c r="AB56" s="355"/>
      <c r="AC56" s="355"/>
      <c r="AD56" s="355"/>
      <c r="AE56" s="355"/>
    </row>
    <row r="57" spans="1:31" s="216" customFormat="1" ht="11.25" customHeight="1">
      <c r="A57" s="613"/>
      <c r="B57" s="77"/>
      <c r="C57" s="77"/>
      <c r="K57" s="72"/>
      <c r="L57" s="77"/>
      <c r="M57" s="77"/>
      <c r="N57" s="72"/>
      <c r="O57" s="72"/>
      <c r="P57" s="72"/>
      <c r="Q57" s="72"/>
      <c r="R57" s="77"/>
      <c r="S57" s="72"/>
      <c r="T57" s="72"/>
      <c r="U57" s="334"/>
      <c r="V57" s="72"/>
      <c r="W57" s="72"/>
      <c r="X57" s="72"/>
      <c r="Y57" s="72"/>
      <c r="Z57" s="72"/>
      <c r="AA57" s="54"/>
      <c r="AB57" s="355"/>
      <c r="AC57" s="355"/>
      <c r="AD57" s="355"/>
      <c r="AE57" s="355"/>
    </row>
    <row r="58" spans="1:31" s="216" customFormat="1" ht="11.25" customHeight="1">
      <c r="A58" s="613"/>
      <c r="B58" s="77"/>
      <c r="C58" s="77"/>
      <c r="K58" s="72"/>
      <c r="L58" s="77"/>
      <c r="M58" s="77"/>
      <c r="N58" s="72"/>
      <c r="O58" s="72"/>
      <c r="P58" s="72"/>
      <c r="Q58" s="72"/>
      <c r="R58" s="77"/>
      <c r="S58" s="72"/>
      <c r="T58" s="72"/>
      <c r="U58" s="334"/>
      <c r="V58" s="72"/>
      <c r="W58" s="72"/>
      <c r="X58" s="72"/>
      <c r="Y58" s="72"/>
      <c r="Z58" s="72"/>
      <c r="AA58" s="54"/>
      <c r="AB58" s="355"/>
      <c r="AC58" s="355"/>
      <c r="AD58" s="355"/>
      <c r="AE58" s="355"/>
    </row>
    <row r="59" spans="1:31" s="216" customFormat="1" ht="11.25" customHeight="1">
      <c r="A59" s="613"/>
      <c r="B59" s="77"/>
      <c r="C59" s="77"/>
      <c r="K59" s="72"/>
      <c r="L59" s="77"/>
      <c r="M59" s="77"/>
      <c r="N59" s="72"/>
      <c r="O59" s="72"/>
      <c r="P59" s="72"/>
      <c r="Q59" s="72"/>
      <c r="R59" s="77"/>
      <c r="S59" s="72"/>
      <c r="T59" s="72"/>
      <c r="U59" s="334"/>
      <c r="V59" s="72"/>
      <c r="W59" s="72"/>
      <c r="X59" s="72"/>
      <c r="Y59" s="72"/>
      <c r="Z59" s="72"/>
      <c r="AA59" s="54"/>
      <c r="AB59" s="355"/>
      <c r="AC59" s="355"/>
      <c r="AD59" s="355"/>
      <c r="AE59" s="355"/>
    </row>
    <row r="60" spans="1:31" s="216" customFormat="1" ht="11.25" customHeight="1">
      <c r="A60" s="613"/>
      <c r="B60" s="77"/>
      <c r="C60" s="77"/>
      <c r="K60" s="72"/>
      <c r="L60" s="77"/>
      <c r="M60" s="77"/>
      <c r="N60" s="72"/>
      <c r="O60" s="72"/>
      <c r="P60" s="72"/>
      <c r="Q60" s="72"/>
      <c r="R60" s="77"/>
      <c r="S60" s="72"/>
      <c r="T60" s="72"/>
      <c r="U60" s="334"/>
      <c r="V60" s="72"/>
      <c r="W60" s="72"/>
      <c r="X60" s="72"/>
      <c r="Y60" s="72"/>
      <c r="Z60" s="72"/>
      <c r="AA60" s="54"/>
      <c r="AB60" s="355"/>
      <c r="AC60" s="355"/>
      <c r="AD60" s="355"/>
      <c r="AE60" s="355"/>
    </row>
    <row r="61" spans="1:31" s="216" customFormat="1" ht="11.25" customHeight="1">
      <c r="A61" s="613"/>
      <c r="B61" s="77"/>
      <c r="C61" s="77"/>
      <c r="K61" s="72"/>
      <c r="L61" s="77"/>
      <c r="M61" s="77"/>
      <c r="N61" s="72"/>
      <c r="O61" s="72"/>
      <c r="P61" s="72"/>
      <c r="Q61" s="72"/>
      <c r="R61" s="77"/>
      <c r="S61" s="72"/>
      <c r="T61" s="72"/>
      <c r="U61" s="334"/>
      <c r="V61" s="72"/>
      <c r="W61" s="72"/>
      <c r="X61" s="72"/>
      <c r="Y61" s="72"/>
      <c r="Z61" s="72"/>
      <c r="AA61" s="54"/>
      <c r="AB61" s="355"/>
      <c r="AC61" s="355"/>
      <c r="AD61" s="355"/>
      <c r="AE61" s="355"/>
    </row>
    <row r="62" spans="1:31" s="216" customFormat="1" ht="11.25" customHeight="1">
      <c r="A62" s="613"/>
      <c r="B62" s="77"/>
      <c r="C62" s="77"/>
      <c r="K62" s="72"/>
      <c r="L62" s="77"/>
      <c r="M62" s="77"/>
      <c r="N62" s="72"/>
      <c r="O62" s="72"/>
      <c r="P62" s="72"/>
      <c r="Q62" s="72"/>
      <c r="R62" s="77"/>
      <c r="S62" s="72"/>
      <c r="T62" s="72"/>
      <c r="U62" s="334"/>
      <c r="V62" s="72"/>
      <c r="W62" s="72"/>
      <c r="X62" s="72"/>
      <c r="Y62" s="72"/>
      <c r="Z62" s="72"/>
      <c r="AA62" s="54"/>
      <c r="AB62" s="355"/>
      <c r="AC62" s="355"/>
      <c r="AD62" s="355"/>
      <c r="AE62" s="355"/>
    </row>
    <row r="63" spans="1:31" s="216" customFormat="1" ht="11.25" customHeight="1">
      <c r="A63" s="613"/>
      <c r="B63" s="77"/>
      <c r="C63" s="77"/>
      <c r="K63" s="72"/>
      <c r="L63" s="77"/>
      <c r="M63" s="77"/>
      <c r="N63" s="72"/>
      <c r="O63" s="72"/>
      <c r="P63" s="72"/>
      <c r="Q63" s="72"/>
      <c r="R63" s="77"/>
      <c r="S63" s="72"/>
      <c r="T63" s="72"/>
      <c r="U63" s="334"/>
      <c r="V63" s="72"/>
      <c r="W63" s="72"/>
      <c r="X63" s="72"/>
      <c r="Y63" s="72"/>
      <c r="Z63" s="72"/>
      <c r="AA63" s="54"/>
      <c r="AB63" s="355"/>
      <c r="AC63" s="355"/>
      <c r="AD63" s="355"/>
      <c r="AE63" s="355"/>
    </row>
    <row r="64" spans="1:31" s="216" customFormat="1" ht="11.25" customHeight="1">
      <c r="A64" s="613"/>
      <c r="B64" s="77"/>
      <c r="C64" s="77"/>
      <c r="K64" s="72"/>
      <c r="L64" s="77"/>
      <c r="M64" s="77"/>
      <c r="N64" s="72"/>
      <c r="O64" s="72"/>
      <c r="P64" s="72"/>
      <c r="Q64" s="72"/>
      <c r="R64" s="77"/>
      <c r="S64" s="72"/>
      <c r="T64" s="72"/>
      <c r="U64" s="334"/>
      <c r="V64" s="72"/>
      <c r="W64" s="72"/>
      <c r="X64" s="72"/>
      <c r="Y64" s="72"/>
      <c r="Z64" s="72"/>
      <c r="AA64" s="54"/>
      <c r="AB64" s="355"/>
      <c r="AC64" s="355"/>
      <c r="AD64" s="355"/>
      <c r="AE64" s="355"/>
    </row>
    <row r="65" spans="1:31" s="216" customFormat="1" ht="11.25" customHeight="1">
      <c r="A65" s="613"/>
      <c r="B65" s="77"/>
      <c r="C65" s="77"/>
      <c r="K65" s="72"/>
      <c r="L65" s="77"/>
      <c r="M65" s="77"/>
      <c r="N65" s="72"/>
      <c r="O65" s="72"/>
      <c r="P65" s="72"/>
      <c r="Q65" s="72"/>
      <c r="R65" s="77"/>
      <c r="S65" s="72"/>
      <c r="T65" s="72"/>
      <c r="U65" s="334"/>
      <c r="V65" s="72"/>
      <c r="W65" s="72"/>
      <c r="X65" s="72"/>
      <c r="Y65" s="72"/>
      <c r="Z65" s="72"/>
      <c r="AA65" s="54"/>
      <c r="AB65" s="355"/>
      <c r="AC65" s="355"/>
      <c r="AD65" s="355"/>
      <c r="AE65" s="355"/>
    </row>
    <row r="66" spans="1:31" s="216" customFormat="1" ht="11.25" customHeight="1">
      <c r="A66" s="613"/>
      <c r="B66" s="77"/>
      <c r="C66" s="77"/>
      <c r="K66" s="72"/>
      <c r="L66" s="77"/>
      <c r="M66" s="77"/>
      <c r="N66" s="72"/>
      <c r="O66" s="72"/>
      <c r="P66" s="72"/>
      <c r="Q66" s="72"/>
      <c r="R66" s="77"/>
      <c r="S66" s="72"/>
      <c r="T66" s="72"/>
      <c r="U66" s="334"/>
      <c r="V66" s="72"/>
      <c r="W66" s="72"/>
      <c r="X66" s="72"/>
      <c r="Y66" s="72"/>
      <c r="Z66" s="72"/>
      <c r="AA66" s="54"/>
      <c r="AB66" s="355"/>
      <c r="AC66" s="355"/>
      <c r="AD66" s="355"/>
      <c r="AE66" s="355"/>
    </row>
    <row r="67" spans="1:31" s="216" customFormat="1" ht="11.25" customHeight="1">
      <c r="A67" s="613"/>
      <c r="B67" s="77"/>
      <c r="C67" s="77"/>
      <c r="K67" s="72"/>
      <c r="L67" s="77"/>
      <c r="M67" s="77"/>
      <c r="N67" s="72"/>
      <c r="O67" s="72"/>
      <c r="P67" s="72"/>
      <c r="Q67" s="72"/>
      <c r="R67" s="77"/>
      <c r="S67" s="72"/>
      <c r="T67" s="72"/>
      <c r="U67" s="334"/>
      <c r="V67" s="72"/>
      <c r="W67" s="72"/>
      <c r="X67" s="72"/>
      <c r="Y67" s="72"/>
      <c r="Z67" s="72"/>
      <c r="AA67" s="54"/>
      <c r="AB67" s="355"/>
      <c r="AC67" s="355"/>
      <c r="AD67" s="355"/>
      <c r="AE67" s="355"/>
    </row>
    <row r="68" spans="1:31" s="216" customFormat="1" ht="11.25" customHeight="1">
      <c r="A68" s="613"/>
      <c r="B68" s="77"/>
      <c r="C68" s="77"/>
      <c r="K68" s="72"/>
      <c r="L68" s="77"/>
      <c r="M68" s="77"/>
      <c r="N68" s="72"/>
      <c r="O68" s="72"/>
      <c r="P68" s="72"/>
      <c r="Q68" s="72"/>
      <c r="R68" s="77"/>
      <c r="S68" s="72"/>
      <c r="T68" s="72"/>
      <c r="U68" s="334"/>
      <c r="V68" s="72"/>
      <c r="W68" s="72"/>
      <c r="X68" s="72"/>
      <c r="Y68" s="72"/>
      <c r="Z68" s="72"/>
      <c r="AA68" s="54"/>
      <c r="AB68" s="355"/>
      <c r="AC68" s="355"/>
      <c r="AD68" s="355"/>
      <c r="AE68" s="355"/>
    </row>
    <row r="69" spans="1:31" s="216" customFormat="1" ht="11.25" customHeight="1">
      <c r="A69" s="613"/>
      <c r="B69" s="77"/>
      <c r="C69" s="77"/>
      <c r="K69" s="72"/>
      <c r="L69" s="77"/>
      <c r="M69" s="77"/>
      <c r="N69" s="72"/>
      <c r="O69" s="72"/>
      <c r="P69" s="72"/>
      <c r="Q69" s="72"/>
      <c r="R69" s="77"/>
      <c r="S69" s="72"/>
      <c r="T69" s="72"/>
      <c r="U69" s="334"/>
      <c r="V69" s="72"/>
      <c r="W69" s="72"/>
      <c r="X69" s="72"/>
      <c r="Y69" s="72"/>
      <c r="Z69" s="72"/>
      <c r="AA69" s="54"/>
      <c r="AB69" s="355"/>
      <c r="AC69" s="355"/>
      <c r="AD69" s="355"/>
      <c r="AE69" s="355"/>
    </row>
    <row r="70" spans="1:31" s="216" customFormat="1" ht="11.25" customHeight="1">
      <c r="A70" s="613"/>
      <c r="B70" s="77"/>
      <c r="C70" s="77"/>
      <c r="K70" s="72"/>
      <c r="L70" s="77"/>
      <c r="M70" s="77"/>
      <c r="N70" s="72"/>
      <c r="O70" s="72"/>
      <c r="P70" s="72"/>
      <c r="Q70" s="72"/>
      <c r="R70" s="77"/>
      <c r="S70" s="72"/>
      <c r="T70" s="72"/>
      <c r="U70" s="334"/>
      <c r="V70" s="72"/>
      <c r="W70" s="72"/>
      <c r="X70" s="72"/>
      <c r="Y70" s="72"/>
      <c r="Z70" s="72"/>
      <c r="AA70" s="54"/>
      <c r="AB70" s="355"/>
      <c r="AC70" s="355"/>
      <c r="AD70" s="355"/>
      <c r="AE70" s="355"/>
    </row>
    <row r="71" spans="1:31" s="216" customFormat="1" ht="11.25" customHeight="1">
      <c r="A71" s="613"/>
      <c r="B71" s="77"/>
      <c r="C71" s="77"/>
      <c r="K71" s="72"/>
      <c r="L71" s="77"/>
      <c r="M71" s="77"/>
      <c r="N71" s="72"/>
      <c r="O71" s="72"/>
      <c r="P71" s="72"/>
      <c r="Q71" s="72"/>
      <c r="R71" s="77"/>
      <c r="S71" s="72"/>
      <c r="T71" s="72"/>
      <c r="U71" s="334"/>
      <c r="V71" s="72"/>
      <c r="W71" s="72"/>
      <c r="X71" s="72"/>
      <c r="Y71" s="72"/>
      <c r="Z71" s="72"/>
      <c r="AA71" s="54"/>
      <c r="AB71" s="355"/>
      <c r="AC71" s="355"/>
      <c r="AD71" s="355"/>
      <c r="AE71" s="355"/>
    </row>
    <row r="72" spans="1:31" s="216" customFormat="1" ht="11.25" customHeight="1">
      <c r="A72" s="613"/>
      <c r="B72" s="77"/>
      <c r="C72" s="77"/>
      <c r="K72" s="72"/>
      <c r="L72" s="77"/>
      <c r="M72" s="77"/>
      <c r="N72" s="72"/>
      <c r="O72" s="72"/>
      <c r="P72" s="72"/>
      <c r="Q72" s="72"/>
      <c r="R72" s="77"/>
      <c r="S72" s="72"/>
      <c r="T72" s="72"/>
      <c r="U72" s="334"/>
      <c r="V72" s="72"/>
      <c r="W72" s="72"/>
      <c r="X72" s="72"/>
      <c r="Y72" s="72"/>
      <c r="Z72" s="72"/>
      <c r="AA72" s="54"/>
      <c r="AB72" s="355"/>
      <c r="AC72" s="355"/>
      <c r="AD72" s="355"/>
      <c r="AE72" s="355"/>
    </row>
    <row r="73" spans="1:31" s="216" customFormat="1" ht="11.25" customHeight="1">
      <c r="A73" s="613"/>
      <c r="B73" s="77"/>
      <c r="C73" s="77"/>
      <c r="K73" s="72"/>
      <c r="L73" s="77"/>
      <c r="M73" s="77"/>
      <c r="N73" s="72"/>
      <c r="O73" s="72"/>
      <c r="P73" s="72"/>
      <c r="Q73" s="72"/>
      <c r="R73" s="77"/>
      <c r="S73" s="72"/>
      <c r="T73" s="72"/>
      <c r="U73" s="334"/>
      <c r="V73" s="72"/>
      <c r="W73" s="72"/>
      <c r="X73" s="72"/>
      <c r="Y73" s="72"/>
      <c r="Z73" s="72"/>
      <c r="AA73" s="54"/>
      <c r="AB73" s="355"/>
      <c r="AC73" s="355"/>
      <c r="AD73" s="355"/>
      <c r="AE73" s="355"/>
    </row>
    <row r="74" spans="1:31" s="216" customFormat="1" ht="11.25" customHeight="1">
      <c r="A74" s="613"/>
      <c r="B74" s="77"/>
      <c r="C74" s="77"/>
      <c r="K74" s="72"/>
      <c r="L74" s="77"/>
      <c r="M74" s="77"/>
      <c r="N74" s="72"/>
      <c r="O74" s="72"/>
      <c r="P74" s="72"/>
      <c r="Q74" s="72"/>
      <c r="R74" s="77"/>
      <c r="S74" s="72"/>
      <c r="T74" s="72"/>
      <c r="U74" s="334"/>
      <c r="V74" s="72"/>
      <c r="W74" s="72"/>
      <c r="X74" s="72"/>
      <c r="Y74" s="72"/>
      <c r="Z74" s="72"/>
      <c r="AA74" s="54"/>
      <c r="AB74" s="355"/>
      <c r="AC74" s="355"/>
      <c r="AD74" s="355"/>
      <c r="AE74" s="355"/>
    </row>
    <row r="75" spans="1:31" s="216" customFormat="1" ht="11.25" customHeight="1">
      <c r="A75" s="613"/>
      <c r="B75" s="77"/>
      <c r="C75" s="77"/>
      <c r="K75" s="72"/>
      <c r="L75" s="77"/>
      <c r="M75" s="77"/>
      <c r="N75" s="72"/>
      <c r="O75" s="72"/>
      <c r="P75" s="72"/>
      <c r="Q75" s="72"/>
      <c r="R75" s="77"/>
      <c r="S75" s="72"/>
      <c r="T75" s="72"/>
      <c r="U75" s="334"/>
      <c r="V75" s="72"/>
      <c r="W75" s="72"/>
      <c r="X75" s="72"/>
      <c r="Y75" s="72"/>
      <c r="Z75" s="72"/>
      <c r="AA75" s="54"/>
      <c r="AB75" s="355"/>
      <c r="AC75" s="355"/>
      <c r="AD75" s="355"/>
      <c r="AE75" s="355"/>
    </row>
    <row r="76" spans="1:31" s="216" customFormat="1" ht="11.25" customHeight="1">
      <c r="A76" s="613"/>
      <c r="B76" s="77"/>
      <c r="C76" s="77"/>
      <c r="K76" s="72"/>
      <c r="L76" s="77"/>
      <c r="M76" s="77"/>
      <c r="N76" s="72"/>
      <c r="O76" s="72"/>
      <c r="P76" s="72"/>
      <c r="Q76" s="72"/>
      <c r="R76" s="77"/>
      <c r="S76" s="72"/>
      <c r="T76" s="72"/>
      <c r="U76" s="334"/>
      <c r="V76" s="72"/>
      <c r="W76" s="72"/>
      <c r="X76" s="72"/>
      <c r="Y76" s="72"/>
      <c r="Z76" s="72"/>
      <c r="AA76" s="54"/>
      <c r="AB76" s="355"/>
      <c r="AC76" s="355"/>
      <c r="AD76" s="355"/>
      <c r="AE76" s="355"/>
    </row>
    <row r="77" spans="1:31" s="216" customFormat="1" ht="11.25" customHeight="1">
      <c r="A77" s="613"/>
      <c r="B77" s="77"/>
      <c r="C77" s="77"/>
      <c r="K77" s="72"/>
      <c r="L77" s="77"/>
      <c r="M77" s="77"/>
      <c r="N77" s="72"/>
      <c r="O77" s="72"/>
      <c r="P77" s="72"/>
      <c r="Q77" s="72"/>
      <c r="R77" s="77"/>
      <c r="S77" s="72"/>
      <c r="T77" s="72"/>
      <c r="U77" s="334"/>
      <c r="V77" s="72"/>
      <c r="W77" s="72"/>
      <c r="X77" s="72"/>
      <c r="Y77" s="72"/>
      <c r="Z77" s="72"/>
      <c r="AA77" s="54"/>
      <c r="AB77" s="355"/>
      <c r="AC77" s="355"/>
      <c r="AD77" s="355"/>
      <c r="AE77" s="355"/>
    </row>
    <row r="78" spans="1:31" s="216" customFormat="1" ht="11.25" customHeight="1">
      <c r="A78" s="613"/>
      <c r="B78" s="77"/>
      <c r="C78" s="77"/>
      <c r="K78" s="72"/>
      <c r="L78" s="77"/>
      <c r="M78" s="77"/>
      <c r="N78" s="72"/>
      <c r="O78" s="72"/>
      <c r="P78" s="72"/>
      <c r="Q78" s="72"/>
      <c r="R78" s="77"/>
      <c r="S78" s="72"/>
      <c r="T78" s="72"/>
      <c r="U78" s="334"/>
      <c r="V78" s="72"/>
      <c r="W78" s="72"/>
      <c r="X78" s="72"/>
      <c r="Y78" s="72"/>
      <c r="Z78" s="72"/>
      <c r="AA78" s="54"/>
      <c r="AB78" s="355"/>
      <c r="AC78" s="355"/>
      <c r="AD78" s="355"/>
      <c r="AE78" s="355"/>
    </row>
    <row r="79" spans="1:31" s="216" customFormat="1" ht="11.25" customHeight="1">
      <c r="A79" s="613"/>
      <c r="B79" s="77"/>
      <c r="C79" s="77"/>
      <c r="K79" s="72"/>
      <c r="L79" s="77"/>
      <c r="M79" s="77"/>
      <c r="N79" s="72"/>
      <c r="O79" s="72"/>
      <c r="P79" s="72"/>
      <c r="Q79" s="72"/>
      <c r="R79" s="77"/>
      <c r="S79" s="72"/>
      <c r="T79" s="72"/>
      <c r="U79" s="334"/>
      <c r="V79" s="72"/>
      <c r="W79" s="72"/>
      <c r="X79" s="72"/>
      <c r="Y79" s="72"/>
      <c r="Z79" s="72"/>
      <c r="AA79" s="54"/>
      <c r="AB79" s="355"/>
      <c r="AC79" s="355"/>
      <c r="AD79" s="355"/>
      <c r="AE79" s="355"/>
    </row>
    <row r="80" spans="1:31" s="216" customFormat="1" ht="11.25" customHeight="1">
      <c r="A80" s="613"/>
      <c r="B80" s="77"/>
      <c r="C80" s="77"/>
      <c r="K80" s="72"/>
      <c r="L80" s="77"/>
      <c r="M80" s="77"/>
      <c r="N80" s="72"/>
      <c r="O80" s="72"/>
      <c r="P80" s="72"/>
      <c r="Q80" s="72"/>
      <c r="R80" s="77"/>
      <c r="S80" s="72"/>
      <c r="T80" s="72"/>
      <c r="U80" s="334"/>
      <c r="V80" s="72"/>
      <c r="W80" s="72"/>
      <c r="X80" s="72"/>
      <c r="Y80" s="72"/>
      <c r="Z80" s="72"/>
      <c r="AA80" s="54"/>
      <c r="AB80" s="355"/>
      <c r="AC80" s="355"/>
      <c r="AD80" s="355"/>
      <c r="AE80" s="355"/>
    </row>
    <row r="81" spans="1:31" s="216" customFormat="1" ht="11.25" customHeight="1">
      <c r="A81" s="613"/>
      <c r="B81" s="77"/>
      <c r="C81" s="77"/>
      <c r="K81" s="72"/>
      <c r="L81" s="77"/>
      <c r="M81" s="77"/>
      <c r="N81" s="72"/>
      <c r="O81" s="72"/>
      <c r="P81" s="72"/>
      <c r="Q81" s="72"/>
      <c r="R81" s="77"/>
      <c r="S81" s="72"/>
      <c r="T81" s="72"/>
      <c r="U81" s="334"/>
      <c r="V81" s="72"/>
      <c r="W81" s="72"/>
      <c r="X81" s="72"/>
      <c r="Y81" s="72"/>
      <c r="Z81" s="72"/>
      <c r="AA81" s="54"/>
      <c r="AB81" s="355"/>
      <c r="AC81" s="355"/>
      <c r="AD81" s="355"/>
      <c r="AE81" s="355"/>
    </row>
    <row r="82" spans="1:31" s="216" customFormat="1" ht="11.25" customHeight="1">
      <c r="A82" s="613"/>
      <c r="B82" s="77"/>
      <c r="C82" s="77"/>
      <c r="K82" s="72"/>
      <c r="L82" s="77"/>
      <c r="M82" s="77"/>
      <c r="N82" s="72"/>
      <c r="O82" s="72"/>
      <c r="P82" s="72"/>
      <c r="Q82" s="72"/>
      <c r="R82" s="77"/>
      <c r="S82" s="72"/>
      <c r="T82" s="72"/>
      <c r="U82" s="334"/>
      <c r="V82" s="72"/>
      <c r="W82" s="72"/>
      <c r="X82" s="72"/>
      <c r="Y82" s="72"/>
      <c r="Z82" s="72"/>
      <c r="AA82" s="54"/>
      <c r="AB82" s="355"/>
      <c r="AC82" s="355"/>
      <c r="AD82" s="355"/>
      <c r="AE82" s="355"/>
    </row>
    <row r="83" spans="1:31" s="216" customFormat="1" ht="11.25" customHeight="1">
      <c r="A83" s="613"/>
      <c r="B83" s="77"/>
      <c r="C83" s="77"/>
      <c r="K83" s="72"/>
      <c r="L83" s="77"/>
      <c r="M83" s="77"/>
      <c r="N83" s="72"/>
      <c r="O83" s="72"/>
      <c r="P83" s="72"/>
      <c r="Q83" s="72"/>
      <c r="R83" s="77"/>
      <c r="S83" s="72"/>
      <c r="T83" s="72"/>
      <c r="U83" s="334"/>
      <c r="V83" s="72"/>
      <c r="W83" s="72"/>
      <c r="X83" s="72"/>
      <c r="Y83" s="72"/>
      <c r="Z83" s="72"/>
      <c r="AA83" s="54"/>
      <c r="AB83" s="355"/>
      <c r="AC83" s="355"/>
      <c r="AD83" s="355"/>
      <c r="AE83" s="355"/>
    </row>
    <row r="84" spans="1:31" s="216" customFormat="1" ht="11.25" customHeight="1">
      <c r="A84" s="613"/>
      <c r="B84" s="77"/>
      <c r="C84" s="77"/>
      <c r="K84" s="72"/>
      <c r="L84" s="77"/>
      <c r="M84" s="77"/>
      <c r="N84" s="72"/>
      <c r="O84" s="72"/>
      <c r="P84" s="72"/>
      <c r="Q84" s="72"/>
      <c r="R84" s="77"/>
      <c r="S84" s="72"/>
      <c r="T84" s="72"/>
      <c r="U84" s="334"/>
      <c r="V84" s="72"/>
      <c r="W84" s="72"/>
      <c r="X84" s="72"/>
      <c r="Y84" s="72"/>
      <c r="Z84" s="72"/>
      <c r="AA84" s="54"/>
      <c r="AB84" s="355"/>
      <c r="AC84" s="355"/>
      <c r="AD84" s="355"/>
      <c r="AE84" s="355"/>
    </row>
    <row r="85" spans="1:31" s="216" customFormat="1" ht="11.25" customHeight="1">
      <c r="A85" s="613"/>
      <c r="B85" s="77"/>
      <c r="C85" s="77"/>
      <c r="K85" s="72"/>
      <c r="L85" s="77"/>
      <c r="M85" s="77"/>
      <c r="N85" s="72"/>
      <c r="O85" s="72"/>
      <c r="P85" s="72"/>
      <c r="Q85" s="72"/>
      <c r="R85" s="77"/>
      <c r="S85" s="72"/>
      <c r="T85" s="72"/>
      <c r="U85" s="334"/>
      <c r="V85" s="72"/>
      <c r="W85" s="72"/>
      <c r="X85" s="72"/>
      <c r="Y85" s="72"/>
      <c r="Z85" s="72"/>
      <c r="AA85" s="54"/>
      <c r="AB85" s="355"/>
      <c r="AC85" s="355"/>
      <c r="AD85" s="355"/>
      <c r="AE85" s="355"/>
    </row>
    <row r="86" spans="1:31" s="216" customFormat="1" ht="11.25" customHeight="1">
      <c r="A86" s="613"/>
      <c r="B86" s="77"/>
      <c r="C86" s="77"/>
      <c r="K86" s="72"/>
      <c r="L86" s="77"/>
      <c r="M86" s="77"/>
      <c r="N86" s="72"/>
      <c r="O86" s="72"/>
      <c r="P86" s="72"/>
      <c r="Q86" s="72"/>
      <c r="R86" s="77"/>
      <c r="S86" s="72"/>
      <c r="T86" s="72"/>
      <c r="U86" s="334"/>
      <c r="V86" s="72"/>
      <c r="W86" s="72"/>
      <c r="X86" s="72"/>
      <c r="Y86" s="72"/>
      <c r="Z86" s="72"/>
      <c r="AA86" s="54"/>
      <c r="AB86" s="355"/>
      <c r="AC86" s="355"/>
      <c r="AD86" s="355"/>
      <c r="AE86" s="355"/>
    </row>
    <row r="87" spans="1:31" s="216" customFormat="1" ht="11.25" customHeight="1">
      <c r="A87" s="613"/>
      <c r="B87" s="77"/>
      <c r="C87" s="77"/>
      <c r="K87" s="72"/>
      <c r="L87" s="77"/>
      <c r="M87" s="77"/>
      <c r="N87" s="72"/>
      <c r="O87" s="72"/>
      <c r="P87" s="72"/>
      <c r="Q87" s="72"/>
      <c r="R87" s="77"/>
      <c r="S87" s="72"/>
      <c r="T87" s="72"/>
      <c r="U87" s="334"/>
      <c r="V87" s="72"/>
      <c r="W87" s="72"/>
      <c r="X87" s="72"/>
      <c r="Y87" s="72"/>
      <c r="Z87" s="72"/>
      <c r="AA87" s="54"/>
      <c r="AB87" s="355"/>
      <c r="AC87" s="355"/>
      <c r="AD87" s="355"/>
      <c r="AE87" s="355"/>
    </row>
    <row r="88" spans="1:31" s="216" customFormat="1" ht="11.25" customHeight="1">
      <c r="A88" s="613"/>
      <c r="B88" s="77"/>
      <c r="C88" s="77"/>
      <c r="K88" s="72"/>
      <c r="L88" s="77"/>
      <c r="M88" s="77"/>
      <c r="N88" s="72"/>
      <c r="O88" s="72"/>
      <c r="P88" s="72"/>
      <c r="Q88" s="72"/>
      <c r="R88" s="77"/>
      <c r="S88" s="72"/>
      <c r="T88" s="72"/>
      <c r="U88" s="334"/>
      <c r="V88" s="72"/>
      <c r="W88" s="72"/>
      <c r="X88" s="72"/>
      <c r="Y88" s="72"/>
      <c r="Z88" s="72"/>
      <c r="AA88" s="54"/>
      <c r="AB88" s="355"/>
      <c r="AC88" s="355"/>
      <c r="AD88" s="355"/>
      <c r="AE88" s="355"/>
    </row>
    <row r="89" spans="1:31" s="216" customFormat="1" ht="11.25" customHeight="1">
      <c r="A89" s="613"/>
      <c r="B89" s="77"/>
      <c r="C89" s="77"/>
      <c r="K89" s="72"/>
      <c r="L89" s="77"/>
      <c r="M89" s="77"/>
      <c r="N89" s="72"/>
      <c r="O89" s="72"/>
      <c r="P89" s="72"/>
      <c r="Q89" s="72"/>
      <c r="R89" s="77"/>
      <c r="S89" s="72"/>
      <c r="T89" s="72"/>
      <c r="U89" s="334"/>
      <c r="V89" s="72"/>
      <c r="W89" s="72"/>
      <c r="X89" s="72"/>
      <c r="Y89" s="72"/>
      <c r="Z89" s="72"/>
      <c r="AA89" s="54"/>
      <c r="AB89" s="355"/>
      <c r="AC89" s="355"/>
      <c r="AD89" s="355"/>
      <c r="AE89" s="355"/>
    </row>
    <row r="90" spans="1:31" s="216" customFormat="1" ht="11.25" customHeight="1">
      <c r="A90" s="613"/>
      <c r="B90" s="77"/>
      <c r="C90" s="77"/>
      <c r="K90" s="72"/>
      <c r="L90" s="77"/>
      <c r="M90" s="77"/>
      <c r="N90" s="72"/>
      <c r="O90" s="72"/>
      <c r="P90" s="72"/>
      <c r="Q90" s="72"/>
      <c r="R90" s="77"/>
      <c r="S90" s="72"/>
      <c r="T90" s="72"/>
      <c r="U90" s="334"/>
      <c r="V90" s="72"/>
      <c r="W90" s="72"/>
      <c r="X90" s="72"/>
      <c r="Y90" s="72"/>
      <c r="Z90" s="72"/>
      <c r="AA90" s="54"/>
      <c r="AB90" s="355"/>
      <c r="AC90" s="355"/>
      <c r="AD90" s="355"/>
      <c r="AE90" s="355"/>
    </row>
    <row r="91" spans="1:31" s="216" customFormat="1" ht="11.25" customHeight="1">
      <c r="A91" s="613"/>
      <c r="B91" s="77"/>
      <c r="C91" s="77"/>
      <c r="K91" s="72"/>
      <c r="L91" s="77"/>
      <c r="M91" s="77"/>
      <c r="N91" s="72"/>
      <c r="O91" s="72"/>
      <c r="P91" s="72"/>
      <c r="Q91" s="72"/>
      <c r="R91" s="77"/>
      <c r="S91" s="72"/>
      <c r="T91" s="72"/>
      <c r="U91" s="334"/>
      <c r="V91" s="72"/>
      <c r="W91" s="72"/>
      <c r="X91" s="72"/>
      <c r="Y91" s="72"/>
      <c r="Z91" s="72"/>
      <c r="AA91" s="54"/>
      <c r="AB91" s="355"/>
      <c r="AC91" s="355"/>
      <c r="AD91" s="355"/>
      <c r="AE91" s="355"/>
    </row>
    <row r="92" spans="1:31" s="216" customFormat="1" ht="11.25" customHeight="1">
      <c r="A92" s="613"/>
      <c r="B92" s="77"/>
      <c r="C92" s="77"/>
      <c r="K92" s="72"/>
      <c r="L92" s="77"/>
      <c r="M92" s="77"/>
      <c r="N92" s="72"/>
      <c r="O92" s="72"/>
      <c r="P92" s="72"/>
      <c r="Q92" s="72"/>
      <c r="R92" s="77"/>
      <c r="S92" s="72"/>
      <c r="T92" s="72"/>
      <c r="U92" s="334"/>
      <c r="V92" s="72"/>
      <c r="W92" s="72"/>
      <c r="X92" s="72"/>
      <c r="Y92" s="72"/>
      <c r="Z92" s="72"/>
      <c r="AA92" s="54"/>
      <c r="AB92" s="355"/>
      <c r="AC92" s="355"/>
      <c r="AD92" s="355"/>
      <c r="AE92" s="355"/>
    </row>
    <row r="93" spans="1:31" s="216" customFormat="1" ht="11.25" customHeight="1">
      <c r="A93" s="613"/>
      <c r="B93" s="77"/>
      <c r="C93" s="77"/>
      <c r="K93" s="72"/>
      <c r="L93" s="77"/>
      <c r="M93" s="77"/>
      <c r="N93" s="72"/>
      <c r="O93" s="72"/>
      <c r="P93" s="72"/>
      <c r="Q93" s="72"/>
      <c r="R93" s="77"/>
      <c r="S93" s="72"/>
      <c r="T93" s="72"/>
      <c r="U93" s="334"/>
      <c r="V93" s="72"/>
      <c r="W93" s="72"/>
      <c r="X93" s="72"/>
      <c r="Y93" s="72"/>
      <c r="Z93" s="72"/>
      <c r="AA93" s="54"/>
      <c r="AB93" s="355"/>
      <c r="AC93" s="355"/>
      <c r="AD93" s="355"/>
      <c r="AE93" s="355"/>
    </row>
    <row r="94" spans="1:31" s="216" customFormat="1" ht="11.25" customHeight="1">
      <c r="A94" s="613"/>
      <c r="B94" s="77"/>
      <c r="C94" s="77"/>
      <c r="K94" s="72"/>
      <c r="L94" s="77"/>
      <c r="M94" s="77"/>
      <c r="N94" s="72"/>
      <c r="O94" s="72"/>
      <c r="P94" s="72"/>
      <c r="Q94" s="72"/>
      <c r="R94" s="77"/>
      <c r="S94" s="72"/>
      <c r="T94" s="72"/>
      <c r="U94" s="334"/>
      <c r="V94" s="72"/>
      <c r="W94" s="72"/>
      <c r="X94" s="72"/>
      <c r="Y94" s="72"/>
      <c r="Z94" s="72"/>
      <c r="AA94" s="54"/>
      <c r="AB94" s="355"/>
      <c r="AC94" s="355"/>
      <c r="AD94" s="355"/>
      <c r="AE94" s="355"/>
    </row>
    <row r="95" spans="1:31" s="216" customFormat="1" ht="11.25" customHeight="1">
      <c r="A95" s="613"/>
      <c r="B95" s="77"/>
      <c r="C95" s="77"/>
      <c r="K95" s="72"/>
      <c r="L95" s="77"/>
      <c r="M95" s="77"/>
      <c r="N95" s="72"/>
      <c r="O95" s="72"/>
      <c r="P95" s="72"/>
      <c r="Q95" s="72"/>
      <c r="R95" s="77"/>
      <c r="S95" s="72"/>
      <c r="T95" s="72"/>
      <c r="U95" s="334"/>
      <c r="V95" s="72"/>
      <c r="W95" s="72"/>
      <c r="X95" s="72"/>
      <c r="Y95" s="72"/>
      <c r="Z95" s="72"/>
      <c r="AA95" s="54"/>
      <c r="AB95" s="355"/>
      <c r="AC95" s="355"/>
      <c r="AD95" s="355"/>
      <c r="AE95" s="355"/>
    </row>
    <row r="96" spans="1:31" s="216" customFormat="1" ht="11.25" customHeight="1">
      <c r="A96" s="613"/>
      <c r="B96" s="77"/>
      <c r="C96" s="77"/>
      <c r="K96" s="72"/>
      <c r="L96" s="77"/>
      <c r="M96" s="77"/>
      <c r="N96" s="72"/>
      <c r="O96" s="72"/>
      <c r="P96" s="72"/>
      <c r="Q96" s="72"/>
      <c r="R96" s="77"/>
      <c r="S96" s="72"/>
      <c r="T96" s="72"/>
      <c r="U96" s="334"/>
      <c r="V96" s="72"/>
      <c r="W96" s="72"/>
      <c r="X96" s="72"/>
      <c r="Y96" s="72"/>
      <c r="Z96" s="72"/>
      <c r="AA96" s="54"/>
      <c r="AB96" s="355"/>
      <c r="AC96" s="355"/>
      <c r="AD96" s="355"/>
      <c r="AE96" s="355"/>
    </row>
    <row r="97" spans="1:31" s="216" customFormat="1" ht="11.25" customHeight="1">
      <c r="A97" s="613"/>
      <c r="B97" s="77"/>
      <c r="C97" s="77"/>
      <c r="K97" s="72"/>
      <c r="L97" s="77"/>
      <c r="M97" s="77"/>
      <c r="N97" s="72"/>
      <c r="O97" s="72"/>
      <c r="P97" s="72"/>
      <c r="Q97" s="72"/>
      <c r="R97" s="77"/>
      <c r="S97" s="72"/>
      <c r="T97" s="72"/>
      <c r="U97" s="334"/>
      <c r="V97" s="72"/>
      <c r="W97" s="72"/>
      <c r="X97" s="72"/>
      <c r="Y97" s="72"/>
      <c r="Z97" s="72"/>
      <c r="AA97" s="54"/>
      <c r="AB97" s="355"/>
      <c r="AC97" s="355"/>
      <c r="AD97" s="355"/>
      <c r="AE97" s="355"/>
    </row>
    <row r="98" spans="1:31" s="216" customFormat="1" ht="11.25" customHeight="1">
      <c r="A98" s="613"/>
      <c r="B98" s="77"/>
      <c r="C98" s="77"/>
      <c r="K98" s="72"/>
      <c r="L98" s="77"/>
      <c r="M98" s="77"/>
      <c r="N98" s="72"/>
      <c r="O98" s="72"/>
      <c r="P98" s="72"/>
      <c r="Q98" s="72"/>
      <c r="R98" s="77"/>
      <c r="S98" s="72"/>
      <c r="T98" s="72"/>
      <c r="U98" s="334"/>
      <c r="V98" s="72"/>
      <c r="W98" s="72"/>
      <c r="X98" s="72"/>
      <c r="Y98" s="72"/>
      <c r="Z98" s="72"/>
      <c r="AA98" s="54"/>
      <c r="AB98" s="355"/>
      <c r="AC98" s="355"/>
      <c r="AD98" s="355"/>
      <c r="AE98" s="355"/>
    </row>
    <row r="99" spans="1:31" s="216" customFormat="1" ht="11.25" customHeight="1">
      <c r="A99" s="613"/>
      <c r="B99" s="77"/>
      <c r="C99" s="77"/>
      <c r="K99" s="72"/>
      <c r="L99" s="77"/>
      <c r="M99" s="77"/>
      <c r="N99" s="72"/>
      <c r="O99" s="72"/>
      <c r="P99" s="72"/>
      <c r="Q99" s="72"/>
      <c r="R99" s="77"/>
      <c r="S99" s="72"/>
      <c r="T99" s="72"/>
      <c r="U99" s="334"/>
      <c r="V99" s="72"/>
      <c r="W99" s="72"/>
      <c r="X99" s="72"/>
      <c r="Y99" s="72"/>
      <c r="Z99" s="72"/>
      <c r="AA99" s="54"/>
      <c r="AB99" s="355"/>
      <c r="AC99" s="355"/>
      <c r="AD99" s="355"/>
      <c r="AE99" s="355"/>
    </row>
    <row r="100" spans="1:31" s="216" customFormat="1" ht="11.25" customHeight="1">
      <c r="A100" s="613"/>
      <c r="B100" s="77"/>
      <c r="C100" s="77"/>
      <c r="K100" s="72"/>
      <c r="L100" s="77"/>
      <c r="M100" s="77"/>
      <c r="N100" s="72"/>
      <c r="O100" s="72"/>
      <c r="P100" s="72"/>
      <c r="Q100" s="72"/>
      <c r="R100" s="77"/>
      <c r="S100" s="72"/>
      <c r="T100" s="72"/>
      <c r="U100" s="334"/>
      <c r="V100" s="72"/>
      <c r="W100" s="72"/>
      <c r="X100" s="72"/>
      <c r="Y100" s="72"/>
      <c r="Z100" s="72"/>
      <c r="AA100" s="54"/>
      <c r="AB100" s="355"/>
      <c r="AC100" s="355"/>
      <c r="AD100" s="355"/>
      <c r="AE100" s="355"/>
    </row>
    <row r="101" spans="1:31" s="216" customFormat="1" ht="11.25" customHeight="1">
      <c r="A101" s="613"/>
      <c r="B101" s="77"/>
      <c r="C101" s="77"/>
      <c r="K101" s="72"/>
      <c r="L101" s="77"/>
      <c r="M101" s="77"/>
      <c r="N101" s="72"/>
      <c r="O101" s="72"/>
      <c r="P101" s="72"/>
      <c r="Q101" s="72"/>
      <c r="R101" s="77"/>
      <c r="S101" s="72"/>
      <c r="T101" s="72"/>
      <c r="U101" s="334"/>
      <c r="V101" s="72"/>
      <c r="W101" s="72"/>
      <c r="X101" s="72"/>
      <c r="Y101" s="72"/>
      <c r="Z101" s="72"/>
      <c r="AA101" s="54"/>
      <c r="AB101" s="355"/>
      <c r="AC101" s="355"/>
      <c r="AD101" s="355"/>
      <c r="AE101" s="355"/>
    </row>
    <row r="102" spans="1:31" s="216" customFormat="1" ht="11.25" customHeight="1">
      <c r="A102" s="613"/>
      <c r="B102" s="77"/>
      <c r="C102" s="77"/>
      <c r="K102" s="72"/>
      <c r="L102" s="77"/>
      <c r="M102" s="77"/>
      <c r="N102" s="72"/>
      <c r="O102" s="72"/>
      <c r="P102" s="72"/>
      <c r="Q102" s="72"/>
      <c r="R102" s="77"/>
      <c r="S102" s="72"/>
      <c r="T102" s="72"/>
      <c r="U102" s="334"/>
      <c r="V102" s="72"/>
      <c r="W102" s="72"/>
      <c r="X102" s="72"/>
      <c r="Y102" s="72"/>
      <c r="Z102" s="72"/>
      <c r="AA102" s="54"/>
      <c r="AB102" s="355"/>
      <c r="AC102" s="355"/>
      <c r="AD102" s="355"/>
      <c r="AE102" s="355"/>
    </row>
    <row r="103" spans="1:31" s="216" customFormat="1" ht="11.25" customHeight="1">
      <c r="A103" s="613"/>
      <c r="B103" s="77"/>
      <c r="C103" s="77"/>
      <c r="K103" s="72"/>
      <c r="L103" s="77"/>
      <c r="M103" s="77"/>
      <c r="N103" s="72"/>
      <c r="O103" s="72"/>
      <c r="P103" s="72"/>
      <c r="Q103" s="72"/>
      <c r="R103" s="77"/>
      <c r="S103" s="72"/>
      <c r="T103" s="72"/>
      <c r="U103" s="334"/>
      <c r="V103" s="72"/>
      <c r="W103" s="72"/>
      <c r="X103" s="72"/>
      <c r="Y103" s="72"/>
      <c r="Z103" s="72"/>
      <c r="AA103" s="54"/>
      <c r="AB103" s="355"/>
      <c r="AC103" s="355"/>
      <c r="AD103" s="355"/>
      <c r="AE103" s="355"/>
    </row>
    <row r="104" spans="1:31" s="216" customFormat="1" ht="11.25" customHeight="1">
      <c r="A104" s="613"/>
      <c r="B104" s="77"/>
      <c r="C104" s="77"/>
      <c r="K104" s="72"/>
      <c r="L104" s="77"/>
      <c r="M104" s="77"/>
      <c r="N104" s="72"/>
      <c r="O104" s="72"/>
      <c r="P104" s="72"/>
      <c r="Q104" s="72"/>
      <c r="R104" s="77"/>
      <c r="S104" s="72"/>
      <c r="T104" s="72"/>
      <c r="U104" s="334"/>
      <c r="V104" s="72"/>
      <c r="W104" s="72"/>
      <c r="X104" s="72"/>
      <c r="Y104" s="72"/>
      <c r="Z104" s="72"/>
      <c r="AA104" s="54"/>
      <c r="AB104" s="355"/>
      <c r="AC104" s="355"/>
      <c r="AD104" s="355"/>
      <c r="AE104" s="355"/>
    </row>
    <row r="105" spans="1:31" s="216" customFormat="1" ht="11.25" customHeight="1">
      <c r="A105" s="613"/>
      <c r="B105" s="77"/>
      <c r="C105" s="77"/>
      <c r="K105" s="72"/>
      <c r="L105" s="77"/>
      <c r="M105" s="77"/>
      <c r="N105" s="72"/>
      <c r="O105" s="72"/>
      <c r="P105" s="72"/>
      <c r="Q105" s="72"/>
      <c r="R105" s="77"/>
      <c r="S105" s="72"/>
      <c r="T105" s="72"/>
      <c r="U105" s="334"/>
      <c r="V105" s="72"/>
      <c r="W105" s="72"/>
      <c r="X105" s="72"/>
      <c r="Y105" s="72"/>
      <c r="Z105" s="72"/>
      <c r="AA105" s="54"/>
      <c r="AB105" s="355"/>
      <c r="AC105" s="355"/>
      <c r="AD105" s="355"/>
      <c r="AE105" s="355"/>
    </row>
    <row r="106" spans="1:31" s="216" customFormat="1" ht="11.25" customHeight="1">
      <c r="A106" s="613"/>
      <c r="B106" s="77"/>
      <c r="C106" s="77"/>
      <c r="K106" s="72"/>
      <c r="L106" s="77"/>
      <c r="M106" s="77"/>
      <c r="N106" s="72"/>
      <c r="O106" s="72"/>
      <c r="P106" s="72"/>
      <c r="Q106" s="72"/>
      <c r="R106" s="77"/>
      <c r="S106" s="72"/>
      <c r="T106" s="72"/>
      <c r="U106" s="334"/>
      <c r="V106" s="72"/>
      <c r="W106" s="72"/>
      <c r="X106" s="72"/>
      <c r="Y106" s="72"/>
      <c r="Z106" s="72"/>
      <c r="AA106" s="54"/>
      <c r="AB106" s="355"/>
      <c r="AC106" s="355"/>
      <c r="AD106" s="355"/>
      <c r="AE106" s="355"/>
    </row>
    <row r="107" spans="1:31" s="216" customFormat="1" ht="11.25" customHeight="1">
      <c r="A107" s="613"/>
      <c r="B107" s="77"/>
      <c r="C107" s="77"/>
      <c r="K107" s="72"/>
      <c r="L107" s="77"/>
      <c r="M107" s="77"/>
      <c r="N107" s="72"/>
      <c r="O107" s="72"/>
      <c r="P107" s="72"/>
      <c r="Q107" s="72"/>
      <c r="R107" s="77"/>
      <c r="S107" s="72"/>
      <c r="T107" s="72"/>
      <c r="U107" s="334"/>
      <c r="V107" s="72"/>
      <c r="W107" s="72"/>
      <c r="X107" s="72"/>
      <c r="Y107" s="72"/>
      <c r="Z107" s="72"/>
      <c r="AA107" s="54"/>
      <c r="AB107" s="355"/>
      <c r="AC107" s="355"/>
      <c r="AD107" s="355"/>
      <c r="AE107" s="355"/>
    </row>
    <row r="108" spans="1:31" s="216" customFormat="1" ht="11.25" customHeight="1">
      <c r="A108" s="613"/>
      <c r="B108" s="77"/>
      <c r="C108" s="77"/>
      <c r="K108" s="72"/>
      <c r="L108" s="77"/>
      <c r="M108" s="77"/>
      <c r="N108" s="72"/>
      <c r="O108" s="72"/>
      <c r="P108" s="72"/>
      <c r="Q108" s="72"/>
      <c r="R108" s="77"/>
      <c r="S108" s="72"/>
      <c r="T108" s="72"/>
      <c r="U108" s="334"/>
      <c r="V108" s="72"/>
      <c r="W108" s="72"/>
      <c r="X108" s="72"/>
      <c r="Y108" s="72"/>
      <c r="Z108" s="72"/>
      <c r="AA108" s="54"/>
      <c r="AB108" s="355"/>
      <c r="AC108" s="355"/>
      <c r="AD108" s="355"/>
      <c r="AE108" s="355"/>
    </row>
    <row r="109" spans="1:31" s="216" customFormat="1" ht="11.25" customHeight="1">
      <c r="A109" s="613"/>
      <c r="B109" s="77"/>
      <c r="C109" s="77"/>
      <c r="K109" s="72"/>
      <c r="L109" s="77"/>
      <c r="M109" s="77"/>
      <c r="N109" s="72"/>
      <c r="O109" s="72"/>
      <c r="P109" s="72"/>
      <c r="Q109" s="72"/>
      <c r="R109" s="77"/>
      <c r="S109" s="72"/>
      <c r="T109" s="72"/>
      <c r="U109" s="334"/>
      <c r="V109" s="72"/>
      <c r="W109" s="72"/>
      <c r="X109" s="72"/>
      <c r="Y109" s="72"/>
      <c r="Z109" s="72"/>
      <c r="AA109" s="54"/>
      <c r="AB109" s="355"/>
      <c r="AC109" s="355"/>
      <c r="AD109" s="355"/>
      <c r="AE109" s="355"/>
    </row>
    <row r="110" spans="1:31" s="216" customFormat="1" ht="11.25" customHeight="1">
      <c r="A110" s="613"/>
      <c r="B110" s="77"/>
      <c r="C110" s="77"/>
      <c r="K110" s="72"/>
      <c r="L110" s="77"/>
      <c r="M110" s="77"/>
      <c r="N110" s="72"/>
      <c r="O110" s="72"/>
      <c r="P110" s="72"/>
      <c r="Q110" s="72"/>
      <c r="R110" s="77"/>
      <c r="S110" s="72"/>
      <c r="T110" s="72"/>
      <c r="U110" s="334"/>
      <c r="V110" s="72"/>
      <c r="W110" s="72"/>
      <c r="X110" s="72"/>
      <c r="Y110" s="72"/>
      <c r="Z110" s="72"/>
      <c r="AA110" s="54"/>
      <c r="AB110" s="355"/>
      <c r="AC110" s="355"/>
      <c r="AD110" s="355"/>
      <c r="AE110" s="355"/>
    </row>
    <row r="111" spans="1:31" s="216" customFormat="1" ht="11.25" customHeight="1">
      <c r="A111" s="613"/>
      <c r="B111" s="77"/>
      <c r="C111" s="77"/>
      <c r="K111" s="72"/>
      <c r="L111" s="77"/>
      <c r="M111" s="77"/>
      <c r="N111" s="72"/>
      <c r="O111" s="72"/>
      <c r="P111" s="72"/>
      <c r="Q111" s="72"/>
      <c r="R111" s="77"/>
      <c r="S111" s="72"/>
      <c r="T111" s="72"/>
      <c r="U111" s="334"/>
      <c r="V111" s="72"/>
      <c r="W111" s="72"/>
      <c r="X111" s="72"/>
      <c r="Y111" s="72"/>
      <c r="Z111" s="72"/>
      <c r="AA111" s="54"/>
      <c r="AB111" s="355"/>
      <c r="AC111" s="355"/>
      <c r="AD111" s="355"/>
      <c r="AE111" s="355"/>
    </row>
    <row r="112" spans="1:31" s="216" customFormat="1" ht="11.25" customHeight="1">
      <c r="A112" s="613"/>
      <c r="B112" s="77"/>
      <c r="C112" s="77"/>
      <c r="K112" s="72"/>
      <c r="L112" s="77"/>
      <c r="M112" s="77"/>
      <c r="N112" s="72"/>
      <c r="O112" s="72"/>
      <c r="P112" s="72"/>
      <c r="Q112" s="72"/>
      <c r="R112" s="77"/>
      <c r="S112" s="72"/>
      <c r="T112" s="72"/>
      <c r="U112" s="334"/>
      <c r="V112" s="72"/>
      <c r="W112" s="72"/>
      <c r="X112" s="72"/>
      <c r="Y112" s="72"/>
      <c r="Z112" s="72"/>
      <c r="AA112" s="54"/>
      <c r="AB112" s="355"/>
      <c r="AC112" s="355"/>
      <c r="AD112" s="355"/>
      <c r="AE112" s="355"/>
    </row>
    <row r="113" spans="1:31" s="216" customFormat="1" ht="11.25" customHeight="1">
      <c r="A113" s="613"/>
      <c r="B113" s="77"/>
      <c r="C113" s="77"/>
      <c r="K113" s="72"/>
      <c r="L113" s="77"/>
      <c r="M113" s="77"/>
      <c r="N113" s="72"/>
      <c r="O113" s="72"/>
      <c r="P113" s="72"/>
      <c r="Q113" s="72"/>
      <c r="R113" s="77"/>
      <c r="S113" s="72"/>
      <c r="T113" s="72"/>
      <c r="U113" s="334"/>
      <c r="V113" s="72"/>
      <c r="W113" s="72"/>
      <c r="X113" s="72"/>
      <c r="Y113" s="72"/>
      <c r="Z113" s="72"/>
      <c r="AA113" s="54"/>
      <c r="AB113" s="355"/>
      <c r="AC113" s="355"/>
      <c r="AD113" s="355"/>
      <c r="AE113" s="355"/>
    </row>
    <row r="114" spans="1:31" s="216" customFormat="1" ht="11.25" customHeight="1">
      <c r="A114" s="613"/>
      <c r="B114" s="77"/>
      <c r="C114" s="77"/>
      <c r="K114" s="72"/>
      <c r="L114" s="77"/>
      <c r="M114" s="77"/>
      <c r="N114" s="72"/>
      <c r="O114" s="72"/>
      <c r="P114" s="72"/>
      <c r="Q114" s="72"/>
      <c r="R114" s="77"/>
      <c r="S114" s="72"/>
      <c r="T114" s="72"/>
      <c r="U114" s="334"/>
      <c r="V114" s="72"/>
      <c r="W114" s="72"/>
      <c r="X114" s="72"/>
      <c r="Y114" s="72"/>
      <c r="Z114" s="72"/>
      <c r="AA114" s="54"/>
      <c r="AB114" s="355"/>
      <c r="AC114" s="355"/>
      <c r="AD114" s="355"/>
      <c r="AE114" s="355"/>
    </row>
    <row r="115" spans="1:31" s="216" customFormat="1" ht="11.25" customHeight="1">
      <c r="A115" s="613"/>
      <c r="B115" s="77"/>
      <c r="C115" s="77"/>
      <c r="K115" s="72"/>
      <c r="L115" s="77"/>
      <c r="M115" s="77"/>
      <c r="N115" s="72"/>
      <c r="O115" s="72"/>
      <c r="P115" s="72"/>
      <c r="Q115" s="72"/>
      <c r="R115" s="77"/>
      <c r="S115" s="72"/>
      <c r="T115" s="72"/>
      <c r="U115" s="334"/>
      <c r="V115" s="72"/>
      <c r="W115" s="72"/>
      <c r="X115" s="72"/>
      <c r="Y115" s="72"/>
      <c r="Z115" s="72"/>
      <c r="AA115" s="54"/>
      <c r="AB115" s="355"/>
      <c r="AC115" s="355"/>
      <c r="AD115" s="355"/>
      <c r="AE115" s="355"/>
    </row>
    <row r="116" spans="1:31" s="216" customFormat="1" ht="11.25" customHeight="1">
      <c r="A116" s="613"/>
      <c r="B116" s="77"/>
      <c r="C116" s="77"/>
      <c r="K116" s="72"/>
      <c r="L116" s="77"/>
      <c r="M116" s="77"/>
      <c r="N116" s="72"/>
      <c r="O116" s="72"/>
      <c r="P116" s="72"/>
      <c r="Q116" s="72"/>
      <c r="R116" s="77"/>
      <c r="S116" s="72"/>
      <c r="T116" s="72"/>
      <c r="U116" s="334"/>
      <c r="V116" s="72"/>
      <c r="W116" s="72"/>
      <c r="X116" s="72"/>
      <c r="Y116" s="72"/>
      <c r="Z116" s="72"/>
      <c r="AA116" s="54"/>
      <c r="AB116" s="355"/>
      <c r="AC116" s="355"/>
      <c r="AD116" s="355"/>
      <c r="AE116" s="355"/>
    </row>
    <row r="117" spans="1:31" s="216" customFormat="1" ht="11.25" customHeight="1">
      <c r="A117" s="613"/>
      <c r="B117" s="77"/>
      <c r="C117" s="77"/>
      <c r="K117" s="72"/>
      <c r="L117" s="77"/>
      <c r="M117" s="77"/>
      <c r="N117" s="72"/>
      <c r="O117" s="72"/>
      <c r="P117" s="72"/>
      <c r="Q117" s="72"/>
      <c r="R117" s="77"/>
      <c r="S117" s="72"/>
      <c r="T117" s="72"/>
      <c r="U117" s="334"/>
      <c r="V117" s="72"/>
      <c r="W117" s="72"/>
      <c r="X117" s="72"/>
      <c r="Y117" s="72"/>
      <c r="Z117" s="72"/>
      <c r="AA117" s="54"/>
      <c r="AB117" s="355"/>
      <c r="AC117" s="355"/>
      <c r="AD117" s="355"/>
      <c r="AE117" s="355"/>
    </row>
    <row r="118" spans="1:31" s="216" customFormat="1" ht="11.25" customHeight="1">
      <c r="A118" s="613"/>
      <c r="B118" s="77"/>
      <c r="C118" s="77"/>
      <c r="K118" s="72"/>
      <c r="L118" s="77"/>
      <c r="M118" s="77"/>
      <c r="N118" s="72"/>
      <c r="O118" s="72"/>
      <c r="P118" s="72"/>
      <c r="Q118" s="72"/>
      <c r="R118" s="77"/>
      <c r="S118" s="72"/>
      <c r="T118" s="72"/>
      <c r="U118" s="334"/>
      <c r="V118" s="72"/>
      <c r="W118" s="72"/>
      <c r="X118" s="72"/>
      <c r="Y118" s="72"/>
      <c r="Z118" s="72"/>
      <c r="AA118" s="54"/>
      <c r="AB118" s="355"/>
      <c r="AC118" s="355"/>
      <c r="AD118" s="355"/>
      <c r="AE118" s="355"/>
    </row>
    <row r="119" spans="1:31" s="216" customFormat="1" ht="11.25" customHeight="1">
      <c r="A119" s="613"/>
      <c r="B119" s="77"/>
      <c r="C119" s="77"/>
      <c r="K119" s="72"/>
      <c r="L119" s="77"/>
      <c r="M119" s="77"/>
      <c r="N119" s="72"/>
      <c r="O119" s="72"/>
      <c r="P119" s="72"/>
      <c r="Q119" s="72"/>
      <c r="R119" s="77"/>
      <c r="S119" s="72"/>
      <c r="T119" s="72"/>
      <c r="U119" s="334"/>
      <c r="V119" s="72"/>
      <c r="W119" s="72"/>
      <c r="X119" s="72"/>
      <c r="Y119" s="72"/>
      <c r="Z119" s="72"/>
      <c r="AA119" s="54"/>
      <c r="AB119" s="355"/>
      <c r="AC119" s="355"/>
      <c r="AD119" s="355"/>
      <c r="AE119" s="355"/>
    </row>
    <row r="120" spans="1:31" s="216" customFormat="1" ht="11.25" customHeight="1">
      <c r="A120" s="613"/>
      <c r="B120" s="77"/>
      <c r="C120" s="77"/>
      <c r="K120" s="72"/>
      <c r="L120" s="77"/>
      <c r="M120" s="77"/>
      <c r="N120" s="72"/>
      <c r="O120" s="72"/>
      <c r="P120" s="72"/>
      <c r="Q120" s="72"/>
      <c r="R120" s="77"/>
      <c r="S120" s="72"/>
      <c r="T120" s="72"/>
      <c r="U120" s="334"/>
      <c r="V120" s="72"/>
      <c r="W120" s="72"/>
      <c r="X120" s="72"/>
      <c r="Y120" s="72"/>
      <c r="Z120" s="72"/>
      <c r="AA120" s="54"/>
      <c r="AB120" s="355"/>
      <c r="AC120" s="355"/>
      <c r="AD120" s="355"/>
      <c r="AE120" s="355"/>
    </row>
    <row r="121" spans="1:31" s="216" customFormat="1" ht="11.25" customHeight="1">
      <c r="A121" s="613"/>
      <c r="B121" s="77"/>
      <c r="C121" s="77"/>
      <c r="K121" s="72"/>
      <c r="L121" s="77"/>
      <c r="M121" s="77"/>
      <c r="N121" s="72"/>
      <c r="O121" s="72"/>
      <c r="P121" s="72"/>
      <c r="Q121" s="72"/>
      <c r="R121" s="77"/>
      <c r="S121" s="72"/>
      <c r="T121" s="72"/>
      <c r="U121" s="334"/>
      <c r="V121" s="72"/>
      <c r="W121" s="72"/>
      <c r="X121" s="72"/>
      <c r="Y121" s="72"/>
      <c r="Z121" s="72"/>
      <c r="AA121" s="54"/>
      <c r="AB121" s="355"/>
      <c r="AC121" s="355"/>
      <c r="AD121" s="355"/>
      <c r="AE121" s="355"/>
    </row>
    <row r="122" spans="1:31" s="216" customFormat="1" ht="11.25" customHeight="1">
      <c r="A122" s="613"/>
      <c r="B122" s="77"/>
      <c r="C122" s="77"/>
      <c r="K122" s="72"/>
      <c r="L122" s="77"/>
      <c r="M122" s="77"/>
      <c r="N122" s="72"/>
      <c r="O122" s="72"/>
      <c r="P122" s="72"/>
      <c r="Q122" s="72"/>
      <c r="R122" s="77"/>
      <c r="S122" s="72"/>
      <c r="T122" s="72"/>
      <c r="U122" s="334"/>
      <c r="V122" s="72"/>
      <c r="W122" s="72"/>
      <c r="X122" s="72"/>
      <c r="Y122" s="72"/>
      <c r="Z122" s="72"/>
      <c r="AA122" s="54"/>
      <c r="AB122" s="355"/>
      <c r="AC122" s="355"/>
      <c r="AD122" s="355"/>
      <c r="AE122" s="355"/>
    </row>
    <row r="123" spans="1:31" s="216" customFormat="1" ht="11.25" customHeight="1">
      <c r="A123" s="613"/>
      <c r="B123" s="77"/>
      <c r="C123" s="77"/>
      <c r="K123" s="72"/>
      <c r="L123" s="77"/>
      <c r="M123" s="77"/>
      <c r="N123" s="72"/>
      <c r="O123" s="72"/>
      <c r="P123" s="72"/>
      <c r="Q123" s="72"/>
      <c r="R123" s="77"/>
      <c r="S123" s="72"/>
      <c r="T123" s="72"/>
      <c r="U123" s="334"/>
      <c r="V123" s="72"/>
      <c r="W123" s="72"/>
      <c r="X123" s="72"/>
      <c r="Y123" s="72"/>
      <c r="Z123" s="72"/>
      <c r="AA123" s="54"/>
      <c r="AB123" s="355"/>
      <c r="AC123" s="355"/>
      <c r="AD123" s="355"/>
      <c r="AE123" s="355"/>
    </row>
    <row r="124" spans="1:31" s="216" customFormat="1" ht="11.25" customHeight="1">
      <c r="A124" s="613"/>
      <c r="B124" s="77"/>
      <c r="C124" s="77"/>
      <c r="K124" s="72"/>
      <c r="L124" s="77"/>
      <c r="M124" s="77"/>
      <c r="N124" s="72"/>
      <c r="O124" s="72"/>
      <c r="P124" s="72"/>
      <c r="Q124" s="72"/>
      <c r="R124" s="77"/>
      <c r="S124" s="72"/>
      <c r="T124" s="72"/>
      <c r="U124" s="334"/>
      <c r="V124" s="72"/>
      <c r="W124" s="72"/>
      <c r="X124" s="72"/>
      <c r="Y124" s="72"/>
      <c r="Z124" s="72"/>
      <c r="AA124" s="54"/>
      <c r="AB124" s="355"/>
      <c r="AC124" s="355"/>
      <c r="AD124" s="355"/>
      <c r="AE124" s="355"/>
    </row>
    <row r="125" spans="1:31" s="216" customFormat="1" ht="11.25" customHeight="1">
      <c r="A125" s="613"/>
      <c r="B125" s="77"/>
      <c r="C125" s="77"/>
      <c r="K125" s="72"/>
      <c r="L125" s="77"/>
      <c r="M125" s="77"/>
      <c r="N125" s="72"/>
      <c r="O125" s="72"/>
      <c r="P125" s="72"/>
      <c r="Q125" s="72"/>
      <c r="R125" s="77"/>
      <c r="S125" s="72"/>
      <c r="T125" s="72"/>
      <c r="U125" s="334"/>
      <c r="V125" s="72"/>
      <c r="W125" s="72"/>
      <c r="X125" s="72"/>
      <c r="Y125" s="72"/>
      <c r="Z125" s="72"/>
      <c r="AA125" s="54"/>
      <c r="AB125" s="355"/>
      <c r="AC125" s="355"/>
      <c r="AD125" s="355"/>
      <c r="AE125" s="355"/>
    </row>
    <row r="126" spans="1:31" s="216" customFormat="1" ht="11.25" customHeight="1">
      <c r="A126" s="613"/>
      <c r="B126" s="77"/>
      <c r="C126" s="77"/>
      <c r="K126" s="72"/>
      <c r="L126" s="77"/>
      <c r="M126" s="77"/>
      <c r="N126" s="72"/>
      <c r="O126" s="72"/>
      <c r="P126" s="72"/>
      <c r="Q126" s="72"/>
      <c r="R126" s="77"/>
      <c r="S126" s="72"/>
      <c r="T126" s="72"/>
      <c r="U126" s="334"/>
      <c r="V126" s="72"/>
      <c r="W126" s="72"/>
      <c r="X126" s="72"/>
      <c r="Y126" s="72"/>
      <c r="Z126" s="72"/>
      <c r="AA126" s="54"/>
      <c r="AB126" s="355"/>
      <c r="AC126" s="355"/>
      <c r="AD126" s="355"/>
      <c r="AE126" s="355"/>
    </row>
    <row r="127" spans="1:31" s="216" customFormat="1" ht="11.25" customHeight="1">
      <c r="A127" s="613"/>
      <c r="B127" s="77"/>
      <c r="C127" s="77"/>
      <c r="K127" s="72"/>
      <c r="L127" s="77"/>
      <c r="M127" s="77"/>
      <c r="N127" s="72"/>
      <c r="O127" s="72"/>
      <c r="P127" s="72"/>
      <c r="Q127" s="72"/>
      <c r="R127" s="77"/>
      <c r="S127" s="72"/>
      <c r="T127" s="72"/>
      <c r="U127" s="334"/>
      <c r="V127" s="72"/>
      <c r="W127" s="72"/>
      <c r="X127" s="72"/>
      <c r="Y127" s="72"/>
      <c r="Z127" s="72"/>
      <c r="AA127" s="54"/>
      <c r="AB127" s="355"/>
      <c r="AC127" s="355"/>
      <c r="AD127" s="355"/>
      <c r="AE127" s="355"/>
    </row>
    <row r="128" spans="1:31" s="216" customFormat="1" ht="11.25" customHeight="1">
      <c r="A128" s="613"/>
      <c r="B128" s="77"/>
      <c r="C128" s="77"/>
      <c r="K128" s="72"/>
      <c r="L128" s="77"/>
      <c r="M128" s="77"/>
      <c r="N128" s="72"/>
      <c r="O128" s="72"/>
      <c r="P128" s="72"/>
      <c r="Q128" s="72"/>
      <c r="R128" s="77"/>
      <c r="S128" s="72"/>
      <c r="T128" s="72"/>
      <c r="U128" s="334"/>
      <c r="V128" s="72"/>
      <c r="W128" s="72"/>
      <c r="X128" s="72"/>
      <c r="Y128" s="72"/>
      <c r="Z128" s="72"/>
      <c r="AA128" s="54"/>
      <c r="AB128" s="355"/>
      <c r="AC128" s="355"/>
      <c r="AD128" s="355"/>
      <c r="AE128" s="355"/>
    </row>
    <row r="129" spans="1:31" s="216" customFormat="1" ht="11.25" customHeight="1">
      <c r="A129" s="613"/>
      <c r="B129" s="77"/>
      <c r="C129" s="77"/>
      <c r="K129" s="72"/>
      <c r="L129" s="77"/>
      <c r="M129" s="77"/>
      <c r="N129" s="72"/>
      <c r="O129" s="72"/>
      <c r="P129" s="72"/>
      <c r="Q129" s="72"/>
      <c r="R129" s="77"/>
      <c r="S129" s="72"/>
      <c r="T129" s="72"/>
      <c r="U129" s="334"/>
      <c r="V129" s="72"/>
      <c r="W129" s="72"/>
      <c r="X129" s="72"/>
      <c r="Y129" s="72"/>
      <c r="Z129" s="72"/>
      <c r="AA129" s="54"/>
      <c r="AB129" s="355"/>
      <c r="AC129" s="355"/>
      <c r="AD129" s="355"/>
      <c r="AE129" s="355"/>
    </row>
    <row r="130" spans="1:31" s="216" customFormat="1" ht="11.25" customHeight="1">
      <c r="A130" s="613"/>
      <c r="B130" s="77"/>
      <c r="C130" s="77"/>
      <c r="K130" s="72"/>
      <c r="L130" s="77"/>
      <c r="M130" s="77"/>
      <c r="N130" s="72"/>
      <c r="O130" s="72"/>
      <c r="P130" s="72"/>
      <c r="Q130" s="72"/>
      <c r="R130" s="77"/>
      <c r="S130" s="72"/>
      <c r="T130" s="72"/>
      <c r="U130" s="334"/>
      <c r="V130" s="72"/>
      <c r="W130" s="72"/>
      <c r="X130" s="72"/>
      <c r="Y130" s="72"/>
      <c r="Z130" s="72"/>
      <c r="AA130" s="54"/>
      <c r="AB130" s="355"/>
      <c r="AC130" s="355"/>
      <c r="AD130" s="355"/>
      <c r="AE130" s="355"/>
    </row>
    <row r="131" spans="1:31" s="216" customFormat="1" ht="11.25" customHeight="1">
      <c r="A131" s="613"/>
      <c r="B131" s="77"/>
      <c r="C131" s="77"/>
      <c r="K131" s="72"/>
      <c r="L131" s="77"/>
      <c r="M131" s="77"/>
      <c r="N131" s="72"/>
      <c r="O131" s="72"/>
      <c r="P131" s="72"/>
      <c r="Q131" s="72"/>
      <c r="R131" s="77"/>
      <c r="S131" s="72"/>
      <c r="T131" s="72"/>
      <c r="U131" s="334"/>
      <c r="V131" s="72"/>
      <c r="W131" s="72"/>
      <c r="X131" s="72"/>
      <c r="Y131" s="72"/>
      <c r="Z131" s="72"/>
      <c r="AA131" s="54"/>
      <c r="AB131" s="355"/>
      <c r="AC131" s="355"/>
      <c r="AD131" s="355"/>
      <c r="AE131" s="355"/>
    </row>
    <row r="132" spans="1:31" s="216" customFormat="1" ht="11.25" customHeight="1">
      <c r="A132" s="613"/>
      <c r="B132" s="77"/>
      <c r="C132" s="77"/>
      <c r="K132" s="72"/>
      <c r="L132" s="77"/>
      <c r="M132" s="77"/>
      <c r="N132" s="72"/>
      <c r="O132" s="72"/>
      <c r="P132" s="72"/>
      <c r="Q132" s="72"/>
      <c r="R132" s="77"/>
      <c r="S132" s="72"/>
      <c r="T132" s="72"/>
      <c r="U132" s="334"/>
      <c r="V132" s="72"/>
      <c r="W132" s="72"/>
      <c r="X132" s="72"/>
      <c r="Y132" s="72"/>
      <c r="Z132" s="72"/>
      <c r="AA132" s="54"/>
      <c r="AB132" s="355"/>
      <c r="AC132" s="355"/>
      <c r="AD132" s="355"/>
      <c r="AE132" s="355"/>
    </row>
    <row r="133" spans="1:31" s="216" customFormat="1" ht="11.25" customHeight="1">
      <c r="A133" s="613"/>
      <c r="B133" s="77"/>
      <c r="C133" s="77"/>
      <c r="K133" s="72"/>
      <c r="L133" s="77"/>
      <c r="M133" s="77"/>
      <c r="N133" s="72"/>
      <c r="O133" s="72"/>
      <c r="P133" s="72"/>
      <c r="Q133" s="72"/>
      <c r="R133" s="77"/>
      <c r="S133" s="72"/>
      <c r="T133" s="72"/>
      <c r="U133" s="334"/>
      <c r="V133" s="72"/>
      <c r="W133" s="72"/>
      <c r="X133" s="72"/>
      <c r="Y133" s="72"/>
      <c r="Z133" s="72"/>
      <c r="AA133" s="54"/>
      <c r="AB133" s="355"/>
      <c r="AC133" s="355"/>
      <c r="AD133" s="355"/>
      <c r="AE133" s="355"/>
    </row>
    <row r="134" spans="1:31" s="216" customFormat="1" ht="11.25" customHeight="1">
      <c r="A134" s="613"/>
      <c r="B134" s="77"/>
      <c r="C134" s="77"/>
      <c r="K134" s="72"/>
      <c r="L134" s="77"/>
      <c r="M134" s="77"/>
      <c r="N134" s="72"/>
      <c r="O134" s="72"/>
      <c r="P134" s="72"/>
      <c r="Q134" s="72"/>
      <c r="R134" s="77"/>
      <c r="S134" s="72"/>
      <c r="T134" s="72"/>
      <c r="U134" s="334"/>
      <c r="V134" s="72"/>
      <c r="W134" s="72"/>
      <c r="X134" s="72"/>
      <c r="Y134" s="72"/>
      <c r="Z134" s="72"/>
      <c r="AA134" s="54"/>
      <c r="AB134" s="355"/>
      <c r="AC134" s="355"/>
      <c r="AD134" s="355"/>
      <c r="AE134" s="355"/>
    </row>
    <row r="135" spans="1:31" s="216" customFormat="1" ht="11.25" customHeight="1">
      <c r="A135" s="613"/>
      <c r="B135" s="77"/>
      <c r="C135" s="77"/>
      <c r="K135" s="72"/>
      <c r="L135" s="77"/>
      <c r="M135" s="77"/>
      <c r="N135" s="72"/>
      <c r="O135" s="72"/>
      <c r="P135" s="72"/>
      <c r="Q135" s="72"/>
      <c r="R135" s="77"/>
      <c r="S135" s="72"/>
      <c r="T135" s="72"/>
      <c r="U135" s="334"/>
      <c r="V135" s="72"/>
      <c r="W135" s="72"/>
      <c r="X135" s="72"/>
      <c r="Y135" s="72"/>
      <c r="Z135" s="72"/>
      <c r="AA135" s="54"/>
      <c r="AB135" s="355"/>
      <c r="AC135" s="355"/>
      <c r="AD135" s="355"/>
      <c r="AE135" s="355"/>
    </row>
    <row r="136" spans="1:31" s="216" customFormat="1" ht="11.25" customHeight="1">
      <c r="A136" s="613"/>
      <c r="B136" s="77"/>
      <c r="C136" s="77"/>
      <c r="K136" s="72"/>
      <c r="L136" s="77"/>
      <c r="M136" s="77"/>
      <c r="N136" s="72"/>
      <c r="O136" s="72"/>
      <c r="P136" s="72"/>
      <c r="Q136" s="72"/>
      <c r="R136" s="77"/>
      <c r="S136" s="72"/>
      <c r="T136" s="72"/>
      <c r="U136" s="334"/>
      <c r="V136" s="72"/>
      <c r="W136" s="72"/>
      <c r="X136" s="72"/>
      <c r="Y136" s="72"/>
      <c r="Z136" s="72"/>
      <c r="AA136" s="54"/>
      <c r="AB136" s="355"/>
      <c r="AC136" s="355"/>
      <c r="AD136" s="355"/>
      <c r="AE136" s="355"/>
    </row>
    <row r="137" spans="1:31" s="216" customFormat="1" ht="11.25" customHeight="1">
      <c r="A137" s="613"/>
      <c r="B137" s="77"/>
      <c r="C137" s="77"/>
      <c r="K137" s="72"/>
      <c r="L137" s="77"/>
      <c r="M137" s="77"/>
      <c r="N137" s="72"/>
      <c r="O137" s="72"/>
      <c r="P137" s="72"/>
      <c r="Q137" s="72"/>
      <c r="R137" s="77"/>
      <c r="S137" s="72"/>
      <c r="T137" s="72"/>
      <c r="U137" s="334"/>
      <c r="V137" s="72"/>
      <c r="W137" s="72"/>
      <c r="X137" s="72"/>
      <c r="Y137" s="72"/>
      <c r="Z137" s="72"/>
      <c r="AA137" s="54"/>
      <c r="AB137" s="355"/>
      <c r="AC137" s="355"/>
      <c r="AD137" s="355"/>
      <c r="AE137" s="355"/>
    </row>
    <row r="138" spans="1:31" s="216" customFormat="1" ht="11.25" customHeight="1">
      <c r="A138" s="613"/>
      <c r="B138" s="77"/>
      <c r="C138" s="77"/>
      <c r="K138" s="72"/>
      <c r="L138" s="77"/>
      <c r="M138" s="77"/>
      <c r="N138" s="72"/>
      <c r="O138" s="72"/>
      <c r="P138" s="72"/>
      <c r="Q138" s="72"/>
      <c r="R138" s="77"/>
      <c r="S138" s="72"/>
      <c r="T138" s="72"/>
      <c r="U138" s="334"/>
      <c r="V138" s="72"/>
      <c r="W138" s="72"/>
      <c r="X138" s="72"/>
      <c r="Y138" s="72"/>
      <c r="Z138" s="72"/>
      <c r="AA138" s="54"/>
      <c r="AB138" s="355"/>
      <c r="AC138" s="355"/>
      <c r="AD138" s="355"/>
      <c r="AE138" s="355"/>
    </row>
    <row r="139" spans="1:31" s="216" customFormat="1" ht="11.25" customHeight="1">
      <c r="A139" s="613"/>
      <c r="B139" s="77"/>
      <c r="C139" s="77"/>
      <c r="K139" s="72"/>
      <c r="L139" s="77"/>
      <c r="M139" s="77"/>
      <c r="N139" s="72"/>
      <c r="O139" s="72"/>
      <c r="P139" s="72"/>
      <c r="Q139" s="72"/>
      <c r="R139" s="77"/>
      <c r="S139" s="72"/>
      <c r="T139" s="72"/>
      <c r="U139" s="334"/>
      <c r="V139" s="72"/>
      <c r="W139" s="72"/>
      <c r="X139" s="72"/>
      <c r="Y139" s="72"/>
      <c r="Z139" s="72"/>
      <c r="AA139" s="54"/>
      <c r="AB139" s="355"/>
      <c r="AC139" s="355"/>
      <c r="AD139" s="355"/>
      <c r="AE139" s="355"/>
    </row>
    <row r="140" spans="1:31" s="216" customFormat="1" ht="11.25" customHeight="1">
      <c r="A140" s="613"/>
      <c r="B140" s="77"/>
      <c r="C140" s="77"/>
      <c r="K140" s="72"/>
      <c r="L140" s="77"/>
      <c r="M140" s="77"/>
      <c r="N140" s="72"/>
      <c r="O140" s="72"/>
      <c r="P140" s="72"/>
      <c r="Q140" s="72"/>
      <c r="R140" s="77"/>
      <c r="S140" s="72"/>
      <c r="T140" s="72"/>
      <c r="U140" s="334"/>
      <c r="V140" s="72"/>
      <c r="W140" s="72"/>
      <c r="X140" s="72"/>
      <c r="Y140" s="72"/>
      <c r="Z140" s="72"/>
      <c r="AA140" s="54"/>
      <c r="AB140" s="355"/>
      <c r="AC140" s="355"/>
      <c r="AD140" s="355"/>
      <c r="AE140" s="355"/>
    </row>
    <row r="141" spans="1:31" s="216" customFormat="1" ht="11.25" customHeight="1">
      <c r="A141" s="613"/>
      <c r="B141" s="77"/>
      <c r="C141" s="77"/>
      <c r="K141" s="72"/>
      <c r="L141" s="77"/>
      <c r="M141" s="77"/>
      <c r="N141" s="72"/>
      <c r="O141" s="72"/>
      <c r="P141" s="72"/>
      <c r="Q141" s="72"/>
      <c r="R141" s="77"/>
      <c r="S141" s="72"/>
      <c r="T141" s="72"/>
      <c r="U141" s="334"/>
      <c r="V141" s="72"/>
      <c r="W141" s="72"/>
      <c r="X141" s="72"/>
      <c r="Y141" s="72"/>
      <c r="Z141" s="72"/>
      <c r="AA141" s="54"/>
      <c r="AB141" s="355"/>
      <c r="AC141" s="355"/>
      <c r="AD141" s="355"/>
      <c r="AE141" s="355"/>
    </row>
    <row r="142" spans="1:31" s="216" customFormat="1" ht="11.25" customHeight="1">
      <c r="A142" s="613"/>
      <c r="B142" s="77"/>
      <c r="C142" s="77"/>
      <c r="K142" s="72"/>
      <c r="L142" s="77"/>
      <c r="M142" s="77"/>
      <c r="N142" s="72"/>
      <c r="O142" s="72"/>
      <c r="P142" s="72"/>
      <c r="Q142" s="72"/>
      <c r="R142" s="77"/>
      <c r="S142" s="72"/>
      <c r="T142" s="72"/>
      <c r="U142" s="334"/>
      <c r="V142" s="72"/>
      <c r="W142" s="72"/>
      <c r="X142" s="72"/>
      <c r="Y142" s="72"/>
      <c r="Z142" s="72"/>
      <c r="AA142" s="54"/>
      <c r="AB142" s="355"/>
      <c r="AC142" s="355"/>
      <c r="AD142" s="355"/>
      <c r="AE142" s="355"/>
    </row>
    <row r="143" spans="1:31" s="216" customFormat="1" ht="11.25" customHeight="1">
      <c r="A143" s="613"/>
      <c r="B143" s="77"/>
      <c r="C143" s="77"/>
      <c r="K143" s="72"/>
      <c r="L143" s="77"/>
      <c r="M143" s="77"/>
      <c r="N143" s="72"/>
      <c r="O143" s="72"/>
      <c r="P143" s="72"/>
      <c r="Q143" s="72"/>
      <c r="R143" s="77"/>
      <c r="S143" s="72"/>
      <c r="T143" s="72"/>
      <c r="U143" s="334"/>
      <c r="V143" s="72"/>
      <c r="W143" s="72"/>
      <c r="X143" s="72"/>
      <c r="Y143" s="72"/>
      <c r="Z143" s="72"/>
      <c r="AA143" s="54"/>
      <c r="AB143" s="355"/>
      <c r="AC143" s="355"/>
      <c r="AD143" s="355"/>
      <c r="AE143" s="355"/>
    </row>
    <row r="144" spans="1:31" s="216" customFormat="1" ht="11.25" customHeight="1">
      <c r="A144" s="613"/>
      <c r="B144" s="77"/>
      <c r="C144" s="77"/>
      <c r="K144" s="72"/>
      <c r="L144" s="77"/>
      <c r="M144" s="77"/>
      <c r="N144" s="72"/>
      <c r="O144" s="72"/>
      <c r="P144" s="72"/>
      <c r="Q144" s="72"/>
      <c r="R144" s="77"/>
      <c r="S144" s="72"/>
      <c r="T144" s="72"/>
      <c r="U144" s="334"/>
      <c r="V144" s="72"/>
      <c r="W144" s="72"/>
      <c r="X144" s="72"/>
      <c r="Y144" s="72"/>
      <c r="Z144" s="72"/>
      <c r="AA144" s="54"/>
      <c r="AB144" s="355"/>
      <c r="AC144" s="355"/>
      <c r="AD144" s="355"/>
      <c r="AE144" s="355"/>
    </row>
    <row r="145" spans="1:31" s="216" customFormat="1" ht="11.25" customHeight="1">
      <c r="A145" s="613"/>
      <c r="B145" s="77"/>
      <c r="C145" s="77"/>
      <c r="K145" s="72"/>
      <c r="L145" s="77"/>
      <c r="M145" s="77"/>
      <c r="N145" s="72"/>
      <c r="O145" s="72"/>
      <c r="P145" s="72"/>
      <c r="Q145" s="72"/>
      <c r="R145" s="77"/>
      <c r="S145" s="72"/>
      <c r="T145" s="72"/>
      <c r="U145" s="334"/>
      <c r="V145" s="72"/>
      <c r="W145" s="72"/>
      <c r="X145" s="72"/>
      <c r="Y145" s="72"/>
      <c r="Z145" s="72"/>
      <c r="AA145" s="54"/>
      <c r="AB145" s="355"/>
      <c r="AC145" s="355"/>
      <c r="AD145" s="355"/>
      <c r="AE145" s="355"/>
    </row>
    <row r="146" spans="1:31" s="216" customFormat="1" ht="11.25" customHeight="1">
      <c r="A146" s="613"/>
      <c r="B146" s="77"/>
      <c r="C146" s="77"/>
      <c r="K146" s="72"/>
      <c r="L146" s="77"/>
      <c r="M146" s="77"/>
      <c r="N146" s="72"/>
      <c r="O146" s="72"/>
      <c r="P146" s="72"/>
      <c r="Q146" s="72"/>
      <c r="R146" s="77"/>
      <c r="S146" s="72"/>
      <c r="T146" s="72"/>
      <c r="U146" s="334"/>
      <c r="V146" s="72"/>
      <c r="W146" s="72"/>
      <c r="X146" s="72"/>
      <c r="Y146" s="72"/>
      <c r="Z146" s="72"/>
      <c r="AA146" s="54"/>
      <c r="AB146" s="355"/>
      <c r="AC146" s="355"/>
      <c r="AD146" s="355"/>
      <c r="AE146" s="355"/>
    </row>
    <row r="147" spans="1:31" s="216" customFormat="1" ht="11.25" customHeight="1">
      <c r="A147" s="613"/>
      <c r="B147" s="77"/>
      <c r="C147" s="77"/>
      <c r="K147" s="72"/>
      <c r="L147" s="77"/>
      <c r="M147" s="77"/>
      <c r="N147" s="72"/>
      <c r="O147" s="72"/>
      <c r="P147" s="72"/>
      <c r="Q147" s="72"/>
      <c r="R147" s="77"/>
      <c r="S147" s="72"/>
      <c r="T147" s="72"/>
      <c r="U147" s="334"/>
      <c r="V147" s="72"/>
      <c r="W147" s="72"/>
      <c r="X147" s="72"/>
      <c r="Y147" s="72"/>
      <c r="Z147" s="72"/>
      <c r="AA147" s="54"/>
      <c r="AB147" s="355"/>
      <c r="AC147" s="355"/>
      <c r="AD147" s="355"/>
      <c r="AE147" s="355"/>
    </row>
    <row r="148" spans="1:31" s="216" customFormat="1" ht="11.25" customHeight="1">
      <c r="A148" s="613"/>
      <c r="B148" s="77"/>
      <c r="C148" s="77"/>
      <c r="K148" s="72"/>
      <c r="L148" s="77"/>
      <c r="M148" s="77"/>
      <c r="N148" s="72"/>
      <c r="O148" s="72"/>
      <c r="P148" s="72"/>
      <c r="Q148" s="72"/>
      <c r="R148" s="77"/>
      <c r="S148" s="72"/>
      <c r="T148" s="72"/>
      <c r="U148" s="334"/>
      <c r="V148" s="72"/>
      <c r="W148" s="72"/>
      <c r="X148" s="72"/>
      <c r="Y148" s="72"/>
      <c r="Z148" s="72"/>
      <c r="AA148" s="54"/>
      <c r="AB148" s="355"/>
      <c r="AC148" s="355"/>
      <c r="AD148" s="355"/>
      <c r="AE148" s="355"/>
    </row>
    <row r="149" spans="1:31" s="216" customFormat="1" ht="11.25" customHeight="1">
      <c r="A149" s="613"/>
      <c r="B149" s="77"/>
      <c r="C149" s="77"/>
      <c r="K149" s="72"/>
      <c r="L149" s="77"/>
      <c r="M149" s="77"/>
      <c r="N149" s="72"/>
      <c r="O149" s="72"/>
      <c r="P149" s="72"/>
      <c r="Q149" s="72"/>
      <c r="R149" s="77"/>
      <c r="S149" s="72"/>
      <c r="T149" s="72"/>
      <c r="U149" s="334"/>
      <c r="V149" s="72"/>
      <c r="W149" s="72"/>
      <c r="X149" s="72"/>
      <c r="Y149" s="72"/>
      <c r="Z149" s="72"/>
      <c r="AA149" s="54"/>
      <c r="AB149" s="355"/>
      <c r="AC149" s="355"/>
      <c r="AD149" s="355"/>
      <c r="AE149" s="355"/>
    </row>
    <row r="150" spans="1:31" s="216" customFormat="1" ht="11.25" customHeight="1">
      <c r="A150" s="613"/>
      <c r="B150" s="77"/>
      <c r="C150" s="77"/>
      <c r="K150" s="72"/>
      <c r="L150" s="77"/>
      <c r="M150" s="77"/>
      <c r="N150" s="72"/>
      <c r="O150" s="72"/>
      <c r="P150" s="72"/>
      <c r="Q150" s="72"/>
      <c r="R150" s="77"/>
      <c r="S150" s="72"/>
      <c r="T150" s="72"/>
      <c r="U150" s="334"/>
      <c r="V150" s="72"/>
      <c r="W150" s="72"/>
      <c r="X150" s="72"/>
      <c r="Y150" s="72"/>
      <c r="Z150" s="72"/>
      <c r="AA150" s="54"/>
      <c r="AB150" s="355"/>
      <c r="AC150" s="355"/>
      <c r="AD150" s="355"/>
      <c r="AE150" s="355"/>
    </row>
    <row r="151" spans="1:31" s="216" customFormat="1" ht="11.25" customHeight="1">
      <c r="A151" s="613"/>
      <c r="B151" s="77"/>
      <c r="C151" s="77"/>
      <c r="K151" s="72"/>
      <c r="L151" s="77"/>
      <c r="M151" s="77"/>
      <c r="N151" s="72"/>
      <c r="O151" s="72"/>
      <c r="P151" s="72"/>
      <c r="Q151" s="72"/>
      <c r="R151" s="77"/>
      <c r="S151" s="72"/>
      <c r="T151" s="72"/>
      <c r="U151" s="334"/>
      <c r="V151" s="72"/>
      <c r="W151" s="72"/>
      <c r="X151" s="72"/>
      <c r="Y151" s="72"/>
      <c r="Z151" s="72"/>
      <c r="AA151" s="54"/>
      <c r="AB151" s="355"/>
      <c r="AC151" s="355"/>
      <c r="AD151" s="355"/>
      <c r="AE151" s="355"/>
    </row>
    <row r="152" spans="1:31" s="216" customFormat="1" ht="11.25" customHeight="1">
      <c r="A152" s="613"/>
      <c r="B152" s="77"/>
      <c r="C152" s="77"/>
      <c r="K152" s="72"/>
      <c r="L152" s="77"/>
      <c r="M152" s="77"/>
      <c r="N152" s="72"/>
      <c r="O152" s="72"/>
      <c r="P152" s="72"/>
      <c r="Q152" s="72"/>
      <c r="R152" s="77"/>
      <c r="S152" s="72"/>
      <c r="T152" s="72"/>
      <c r="U152" s="334"/>
      <c r="V152" s="72"/>
      <c r="W152" s="72"/>
      <c r="X152" s="72"/>
      <c r="Y152" s="72"/>
      <c r="Z152" s="72"/>
      <c r="AA152" s="54"/>
      <c r="AB152" s="355"/>
      <c r="AC152" s="355"/>
      <c r="AD152" s="355"/>
      <c r="AE152" s="355"/>
    </row>
    <row r="153" spans="1:31" s="216" customFormat="1" ht="11.25" customHeight="1">
      <c r="A153" s="613"/>
      <c r="B153" s="77"/>
      <c r="C153" s="77"/>
      <c r="K153" s="72"/>
      <c r="L153" s="77"/>
      <c r="M153" s="77"/>
      <c r="N153" s="72"/>
      <c r="O153" s="72"/>
      <c r="P153" s="72"/>
      <c r="Q153" s="72"/>
      <c r="R153" s="77"/>
      <c r="S153" s="72"/>
      <c r="T153" s="72"/>
      <c r="U153" s="334"/>
      <c r="V153" s="72"/>
      <c r="W153" s="72"/>
      <c r="X153" s="72"/>
      <c r="Y153" s="72"/>
      <c r="Z153" s="72"/>
      <c r="AA153" s="54"/>
      <c r="AB153" s="355"/>
      <c r="AC153" s="355"/>
      <c r="AD153" s="355"/>
      <c r="AE153" s="355"/>
    </row>
    <row r="154" spans="1:31" s="216" customFormat="1" ht="11.25" customHeight="1">
      <c r="A154" s="613"/>
      <c r="B154" s="77"/>
      <c r="C154" s="77"/>
      <c r="K154" s="72"/>
      <c r="L154" s="77"/>
      <c r="M154" s="77"/>
      <c r="N154" s="72"/>
      <c r="O154" s="72"/>
      <c r="P154" s="72"/>
      <c r="Q154" s="72"/>
      <c r="R154" s="77"/>
      <c r="S154" s="72"/>
      <c r="T154" s="72"/>
      <c r="U154" s="334"/>
      <c r="V154" s="72"/>
      <c r="W154" s="72"/>
      <c r="X154" s="72"/>
      <c r="Y154" s="72"/>
      <c r="Z154" s="72"/>
      <c r="AA154" s="54"/>
      <c r="AB154" s="355"/>
      <c r="AC154" s="355"/>
      <c r="AD154" s="355"/>
      <c r="AE154" s="355"/>
    </row>
    <row r="155" spans="1:31" s="216" customFormat="1" ht="11.25" customHeight="1">
      <c r="A155" s="613"/>
      <c r="B155" s="77"/>
      <c r="C155" s="77"/>
      <c r="K155" s="72"/>
      <c r="L155" s="77"/>
      <c r="M155" s="77"/>
      <c r="N155" s="72"/>
      <c r="O155" s="72"/>
      <c r="P155" s="72"/>
      <c r="Q155" s="72"/>
      <c r="R155" s="77"/>
      <c r="S155" s="72"/>
      <c r="T155" s="72"/>
      <c r="U155" s="334"/>
      <c r="V155" s="72"/>
      <c r="W155" s="72"/>
      <c r="X155" s="72"/>
      <c r="Y155" s="72"/>
      <c r="Z155" s="72"/>
      <c r="AA155" s="54"/>
      <c r="AB155" s="355"/>
      <c r="AC155" s="355"/>
      <c r="AD155" s="355"/>
      <c r="AE155" s="355"/>
    </row>
    <row r="156" spans="1:31" s="216" customFormat="1" ht="11.25" customHeight="1">
      <c r="A156" s="613"/>
      <c r="B156" s="77"/>
      <c r="C156" s="77"/>
      <c r="K156" s="72"/>
      <c r="L156" s="77"/>
      <c r="M156" s="77"/>
      <c r="N156" s="72"/>
      <c r="O156" s="72"/>
      <c r="P156" s="72"/>
      <c r="Q156" s="72"/>
      <c r="R156" s="77"/>
      <c r="S156" s="72"/>
      <c r="T156" s="72"/>
      <c r="U156" s="334"/>
      <c r="V156" s="72"/>
      <c r="W156" s="72"/>
      <c r="X156" s="72"/>
      <c r="Y156" s="72"/>
      <c r="Z156" s="72"/>
      <c r="AA156" s="54"/>
      <c r="AB156" s="355"/>
      <c r="AC156" s="355"/>
      <c r="AD156" s="355"/>
      <c r="AE156" s="355"/>
    </row>
    <row r="157" spans="1:31" s="216" customFormat="1" ht="11.25" customHeight="1">
      <c r="A157" s="613"/>
      <c r="B157" s="77"/>
      <c r="C157" s="77"/>
      <c r="K157" s="72"/>
      <c r="L157" s="77"/>
      <c r="M157" s="77"/>
      <c r="N157" s="72"/>
      <c r="O157" s="72"/>
      <c r="P157" s="72"/>
      <c r="Q157" s="72"/>
      <c r="R157" s="77"/>
      <c r="S157" s="72"/>
      <c r="T157" s="72"/>
      <c r="U157" s="334"/>
      <c r="V157" s="72"/>
      <c r="W157" s="72"/>
      <c r="X157" s="72"/>
      <c r="Y157" s="72"/>
      <c r="Z157" s="72"/>
      <c r="AA157" s="54"/>
      <c r="AB157" s="355"/>
      <c r="AC157" s="355"/>
      <c r="AD157" s="355"/>
      <c r="AE157" s="355"/>
    </row>
    <row r="158" spans="1:31" s="216" customFormat="1" ht="11.25" customHeight="1">
      <c r="A158" s="613"/>
      <c r="B158" s="77"/>
      <c r="C158" s="77"/>
      <c r="K158" s="72"/>
      <c r="L158" s="77"/>
      <c r="M158" s="77"/>
      <c r="N158" s="72"/>
      <c r="O158" s="72"/>
      <c r="P158" s="72"/>
      <c r="Q158" s="72"/>
      <c r="R158" s="77"/>
      <c r="S158" s="72"/>
      <c r="T158" s="72"/>
      <c r="U158" s="334"/>
      <c r="V158" s="72"/>
      <c r="W158" s="72"/>
      <c r="X158" s="72"/>
      <c r="Y158" s="72"/>
      <c r="Z158" s="72"/>
      <c r="AA158" s="54"/>
      <c r="AB158" s="355"/>
      <c r="AC158" s="355"/>
      <c r="AD158" s="355"/>
      <c r="AE158" s="355"/>
    </row>
    <row r="159" spans="1:31" s="216" customFormat="1" ht="11.25" customHeight="1">
      <c r="A159" s="613"/>
      <c r="B159" s="77"/>
      <c r="C159" s="77"/>
      <c r="K159" s="72"/>
      <c r="L159" s="77"/>
      <c r="M159" s="77"/>
      <c r="N159" s="72"/>
      <c r="O159" s="72"/>
      <c r="P159" s="72"/>
      <c r="Q159" s="72"/>
      <c r="R159" s="77"/>
      <c r="S159" s="72"/>
      <c r="T159" s="72"/>
      <c r="U159" s="334"/>
      <c r="V159" s="72"/>
      <c r="W159" s="72"/>
      <c r="X159" s="72"/>
      <c r="Y159" s="72"/>
      <c r="Z159" s="72"/>
      <c r="AA159" s="54"/>
      <c r="AB159" s="355"/>
      <c r="AC159" s="355"/>
      <c r="AD159" s="355"/>
      <c r="AE159" s="355"/>
    </row>
    <row r="160" spans="1:31" s="216" customFormat="1" ht="11.25" customHeight="1">
      <c r="A160" s="613"/>
      <c r="B160" s="77"/>
      <c r="C160" s="77"/>
      <c r="K160" s="72"/>
      <c r="L160" s="77"/>
      <c r="M160" s="77"/>
      <c r="N160" s="72"/>
      <c r="O160" s="72"/>
      <c r="P160" s="72"/>
      <c r="Q160" s="72"/>
      <c r="R160" s="77"/>
      <c r="S160" s="72"/>
      <c r="T160" s="72"/>
      <c r="U160" s="334"/>
      <c r="V160" s="72"/>
      <c r="W160" s="72"/>
      <c r="X160" s="72"/>
      <c r="Y160" s="72"/>
      <c r="Z160" s="72"/>
      <c r="AA160" s="54"/>
      <c r="AB160" s="355"/>
      <c r="AC160" s="355"/>
      <c r="AD160" s="355"/>
      <c r="AE160" s="355"/>
    </row>
    <row r="161" spans="1:31" s="216" customFormat="1" ht="11.25" customHeight="1">
      <c r="A161" s="613"/>
      <c r="B161" s="77"/>
      <c r="C161" s="77"/>
      <c r="K161" s="72"/>
      <c r="L161" s="77"/>
      <c r="M161" s="77"/>
      <c r="N161" s="72"/>
      <c r="O161" s="72"/>
      <c r="P161" s="72"/>
      <c r="Q161" s="72"/>
      <c r="R161" s="77"/>
      <c r="S161" s="72"/>
      <c r="T161" s="72"/>
      <c r="U161" s="334"/>
      <c r="V161" s="72"/>
      <c r="W161" s="72"/>
      <c r="X161" s="72"/>
      <c r="Y161" s="72"/>
      <c r="Z161" s="72"/>
      <c r="AA161" s="54"/>
      <c r="AB161" s="355"/>
      <c r="AC161" s="355"/>
      <c r="AD161" s="355"/>
      <c r="AE161" s="355"/>
    </row>
    <row r="162" spans="1:31" s="216" customFormat="1" ht="11.25" customHeight="1">
      <c r="A162" s="613"/>
      <c r="B162" s="77"/>
      <c r="C162" s="77"/>
      <c r="K162" s="72"/>
      <c r="L162" s="77"/>
      <c r="M162" s="77"/>
      <c r="N162" s="72"/>
      <c r="O162" s="72"/>
      <c r="P162" s="72"/>
      <c r="Q162" s="72"/>
      <c r="R162" s="77"/>
      <c r="S162" s="72"/>
      <c r="T162" s="72"/>
      <c r="U162" s="334"/>
      <c r="V162" s="72"/>
      <c r="W162" s="72"/>
      <c r="X162" s="72"/>
      <c r="Y162" s="72"/>
      <c r="Z162" s="72"/>
      <c r="AA162" s="54"/>
      <c r="AB162" s="355"/>
      <c r="AC162" s="355"/>
      <c r="AD162" s="355"/>
      <c r="AE162" s="355"/>
    </row>
    <row r="163" spans="1:31" s="216" customFormat="1" ht="11.25" customHeight="1">
      <c r="A163" s="613"/>
      <c r="B163" s="77"/>
      <c r="C163" s="77"/>
      <c r="K163" s="72"/>
      <c r="L163" s="77"/>
      <c r="M163" s="77"/>
      <c r="N163" s="72"/>
      <c r="O163" s="72"/>
      <c r="P163" s="72"/>
      <c r="Q163" s="72"/>
      <c r="R163" s="77"/>
      <c r="S163" s="72"/>
      <c r="T163" s="72"/>
      <c r="U163" s="334"/>
      <c r="V163" s="72"/>
      <c r="W163" s="72"/>
      <c r="X163" s="72"/>
      <c r="Y163" s="72"/>
      <c r="Z163" s="72"/>
      <c r="AA163" s="54"/>
      <c r="AB163" s="355"/>
      <c r="AC163" s="355"/>
      <c r="AD163" s="355"/>
      <c r="AE163" s="355"/>
    </row>
    <row r="164" spans="1:31" s="216" customFormat="1" ht="11.25" customHeight="1">
      <c r="A164" s="613"/>
      <c r="B164" s="77"/>
      <c r="C164" s="77"/>
      <c r="K164" s="72"/>
      <c r="L164" s="77"/>
      <c r="M164" s="77"/>
      <c r="N164" s="72"/>
      <c r="O164" s="72"/>
      <c r="P164" s="72"/>
      <c r="Q164" s="72"/>
      <c r="R164" s="77"/>
      <c r="S164" s="72"/>
      <c r="T164" s="72"/>
      <c r="U164" s="334"/>
      <c r="V164" s="72"/>
      <c r="W164" s="72"/>
      <c r="X164" s="72"/>
      <c r="Y164" s="72"/>
      <c r="Z164" s="72"/>
      <c r="AA164" s="54"/>
      <c r="AB164" s="355"/>
      <c r="AC164" s="355"/>
      <c r="AD164" s="355"/>
      <c r="AE164" s="355"/>
    </row>
    <row r="165" spans="1:31" s="216" customFormat="1" ht="11.25" customHeight="1">
      <c r="A165" s="613"/>
      <c r="B165" s="77"/>
      <c r="C165" s="77"/>
      <c r="K165" s="72"/>
      <c r="L165" s="77"/>
      <c r="M165" s="77"/>
      <c r="N165" s="72"/>
      <c r="O165" s="72"/>
      <c r="P165" s="72"/>
      <c r="Q165" s="72"/>
      <c r="R165" s="77"/>
      <c r="S165" s="72"/>
      <c r="T165" s="72"/>
      <c r="U165" s="334"/>
      <c r="V165" s="72"/>
      <c r="W165" s="72"/>
      <c r="X165" s="72"/>
      <c r="Y165" s="72"/>
      <c r="Z165" s="72"/>
      <c r="AA165" s="54"/>
      <c r="AB165" s="355"/>
      <c r="AC165" s="355"/>
      <c r="AD165" s="355"/>
      <c r="AE165" s="355"/>
    </row>
    <row r="166" spans="1:31" s="216" customFormat="1" ht="11.25" customHeight="1">
      <c r="A166" s="613"/>
      <c r="B166" s="77"/>
      <c r="C166" s="77"/>
      <c r="K166" s="72"/>
      <c r="L166" s="77"/>
      <c r="M166" s="77"/>
      <c r="N166" s="72"/>
      <c r="O166" s="72"/>
      <c r="P166" s="72"/>
      <c r="Q166" s="72"/>
      <c r="R166" s="77"/>
      <c r="S166" s="72"/>
      <c r="T166" s="72"/>
      <c r="U166" s="334"/>
      <c r="V166" s="72"/>
      <c r="W166" s="72"/>
      <c r="X166" s="72"/>
      <c r="Y166" s="72"/>
      <c r="Z166" s="72"/>
      <c r="AA166" s="54"/>
      <c r="AB166" s="355"/>
      <c r="AC166" s="355"/>
      <c r="AD166" s="355"/>
      <c r="AE166" s="355"/>
    </row>
    <row r="167" spans="1:31" s="216" customFormat="1" ht="11.25" customHeight="1">
      <c r="A167" s="613"/>
      <c r="B167" s="77"/>
      <c r="C167" s="77"/>
      <c r="K167" s="72"/>
      <c r="L167" s="77"/>
      <c r="M167" s="77"/>
      <c r="N167" s="72"/>
      <c r="O167" s="72"/>
      <c r="P167" s="72"/>
      <c r="Q167" s="72"/>
      <c r="R167" s="77"/>
      <c r="S167" s="72"/>
      <c r="T167" s="72"/>
      <c r="U167" s="334"/>
      <c r="V167" s="72"/>
      <c r="W167" s="72"/>
      <c r="X167" s="72"/>
      <c r="Y167" s="72"/>
      <c r="Z167" s="72"/>
      <c r="AA167" s="54"/>
      <c r="AB167" s="355"/>
      <c r="AC167" s="355"/>
      <c r="AD167" s="355"/>
      <c r="AE167" s="355"/>
    </row>
    <row r="168" spans="1:31" s="216" customFormat="1" ht="11.25" customHeight="1">
      <c r="A168" s="613"/>
      <c r="B168" s="77"/>
      <c r="C168" s="77"/>
      <c r="K168" s="72"/>
      <c r="L168" s="77"/>
      <c r="M168" s="77"/>
      <c r="N168" s="72"/>
      <c r="O168" s="72"/>
      <c r="P168" s="72"/>
      <c r="Q168" s="72"/>
      <c r="R168" s="77"/>
      <c r="S168" s="72"/>
      <c r="T168" s="72"/>
      <c r="U168" s="334"/>
      <c r="V168" s="72"/>
      <c r="W168" s="72"/>
      <c r="X168" s="72"/>
      <c r="Y168" s="72"/>
      <c r="Z168" s="72"/>
      <c r="AA168" s="54"/>
      <c r="AB168" s="355"/>
      <c r="AC168" s="355"/>
      <c r="AD168" s="355"/>
      <c r="AE168" s="355"/>
    </row>
    <row r="169" spans="1:31" s="216" customFormat="1" ht="11.25" customHeight="1">
      <c r="A169" s="613"/>
      <c r="B169" s="77"/>
      <c r="C169" s="77"/>
      <c r="K169" s="72"/>
      <c r="L169" s="77"/>
      <c r="M169" s="77"/>
      <c r="N169" s="72"/>
      <c r="O169" s="72"/>
      <c r="P169" s="72"/>
      <c r="Q169" s="72"/>
      <c r="R169" s="77"/>
      <c r="S169" s="72"/>
      <c r="T169" s="72"/>
      <c r="U169" s="334"/>
      <c r="V169" s="72"/>
      <c r="W169" s="72"/>
      <c r="X169" s="72"/>
      <c r="Y169" s="72"/>
      <c r="Z169" s="72"/>
      <c r="AA169" s="54"/>
      <c r="AB169" s="355"/>
      <c r="AC169" s="355"/>
      <c r="AD169" s="355"/>
      <c r="AE169" s="355"/>
    </row>
    <row r="170" spans="1:31" s="216" customFormat="1" ht="11.25" customHeight="1">
      <c r="A170" s="613"/>
      <c r="B170" s="77"/>
      <c r="C170" s="77"/>
      <c r="K170" s="72"/>
      <c r="L170" s="77"/>
      <c r="M170" s="77"/>
      <c r="N170" s="72"/>
      <c r="O170" s="72"/>
      <c r="P170" s="72"/>
      <c r="Q170" s="72"/>
      <c r="R170" s="77"/>
      <c r="S170" s="72"/>
      <c r="T170" s="72"/>
      <c r="U170" s="334"/>
      <c r="V170" s="72"/>
      <c r="W170" s="72"/>
      <c r="X170" s="72"/>
      <c r="Y170" s="72"/>
      <c r="Z170" s="72"/>
      <c r="AA170" s="54"/>
      <c r="AB170" s="355"/>
      <c r="AC170" s="355"/>
      <c r="AD170" s="355"/>
      <c r="AE170" s="355"/>
    </row>
    <row r="171" spans="1:31" s="216" customFormat="1" ht="11.25" customHeight="1">
      <c r="A171" s="613"/>
      <c r="B171" s="77"/>
      <c r="C171" s="77"/>
      <c r="K171" s="72"/>
      <c r="L171" s="77"/>
      <c r="M171" s="77"/>
      <c r="N171" s="72"/>
      <c r="O171" s="72"/>
      <c r="P171" s="72"/>
      <c r="Q171" s="72"/>
      <c r="R171" s="77"/>
      <c r="S171" s="72"/>
      <c r="T171" s="72"/>
      <c r="U171" s="334"/>
      <c r="V171" s="72"/>
      <c r="W171" s="72"/>
      <c r="X171" s="72"/>
      <c r="Y171" s="72"/>
      <c r="Z171" s="72"/>
      <c r="AA171" s="54"/>
      <c r="AB171" s="355"/>
      <c r="AC171" s="355"/>
      <c r="AD171" s="355"/>
      <c r="AE171" s="355"/>
    </row>
    <row r="172" spans="1:31" s="216" customFormat="1" ht="11.25" customHeight="1">
      <c r="A172" s="613"/>
      <c r="B172" s="77"/>
      <c r="C172" s="77"/>
      <c r="K172" s="72"/>
      <c r="L172" s="77"/>
      <c r="M172" s="77"/>
      <c r="N172" s="72"/>
      <c r="O172" s="72"/>
      <c r="P172" s="72"/>
      <c r="Q172" s="72"/>
      <c r="R172" s="77"/>
      <c r="S172" s="72"/>
      <c r="T172" s="72"/>
      <c r="U172" s="334"/>
      <c r="V172" s="72"/>
      <c r="W172" s="72"/>
      <c r="X172" s="72"/>
      <c r="Y172" s="72"/>
      <c r="Z172" s="72"/>
      <c r="AA172" s="54"/>
      <c r="AB172" s="355"/>
      <c r="AC172" s="355"/>
      <c r="AD172" s="355"/>
      <c r="AE172" s="355"/>
    </row>
    <row r="173" spans="1:31" s="216" customFormat="1" ht="11.25" customHeight="1">
      <c r="A173" s="613"/>
      <c r="B173" s="77"/>
      <c r="C173" s="77"/>
      <c r="K173" s="72"/>
      <c r="L173" s="77"/>
      <c r="M173" s="77"/>
      <c r="N173" s="72"/>
      <c r="O173" s="72"/>
      <c r="P173" s="72"/>
      <c r="Q173" s="72"/>
      <c r="R173" s="77"/>
      <c r="S173" s="72"/>
      <c r="T173" s="72"/>
      <c r="U173" s="334"/>
      <c r="V173" s="72"/>
      <c r="W173" s="72"/>
      <c r="X173" s="72"/>
      <c r="Y173" s="72"/>
      <c r="Z173" s="72"/>
      <c r="AA173" s="54"/>
      <c r="AB173" s="355"/>
      <c r="AC173" s="355"/>
      <c r="AD173" s="355"/>
      <c r="AE173" s="355"/>
    </row>
    <row r="174" spans="1:31" s="216" customFormat="1" ht="11.25" customHeight="1">
      <c r="A174" s="613"/>
      <c r="B174" s="77"/>
      <c r="C174" s="77"/>
      <c r="K174" s="72"/>
      <c r="L174" s="77"/>
      <c r="M174" s="77"/>
      <c r="N174" s="72"/>
      <c r="O174" s="72"/>
      <c r="P174" s="72"/>
      <c r="Q174" s="72"/>
      <c r="R174" s="77"/>
      <c r="S174" s="72"/>
      <c r="T174" s="72"/>
      <c r="U174" s="334"/>
      <c r="V174" s="72"/>
      <c r="W174" s="72"/>
      <c r="X174" s="72"/>
      <c r="Y174" s="72"/>
      <c r="Z174" s="72"/>
      <c r="AA174" s="54"/>
      <c r="AB174" s="355"/>
      <c r="AC174" s="355"/>
      <c r="AD174" s="355"/>
      <c r="AE174" s="355"/>
    </row>
    <row r="175" spans="1:31" s="216" customFormat="1" ht="11.25" customHeight="1">
      <c r="A175" s="613"/>
      <c r="B175" s="77"/>
      <c r="C175" s="77"/>
      <c r="K175" s="72"/>
      <c r="L175" s="77"/>
      <c r="M175" s="77"/>
      <c r="N175" s="72"/>
      <c r="O175" s="72"/>
      <c r="P175" s="72"/>
      <c r="Q175" s="72"/>
      <c r="R175" s="77"/>
      <c r="S175" s="72"/>
      <c r="T175" s="72"/>
      <c r="U175" s="334"/>
      <c r="V175" s="72"/>
      <c r="W175" s="72"/>
      <c r="X175" s="72"/>
      <c r="Y175" s="72"/>
      <c r="Z175" s="72"/>
      <c r="AA175" s="54"/>
      <c r="AB175" s="355"/>
      <c r="AC175" s="355"/>
      <c r="AD175" s="355"/>
      <c r="AE175" s="355"/>
    </row>
    <row r="176" spans="1:31" s="216" customFormat="1" ht="11.25" customHeight="1">
      <c r="A176" s="613"/>
      <c r="B176" s="77"/>
      <c r="C176" s="77"/>
      <c r="K176" s="72"/>
      <c r="L176" s="77"/>
      <c r="M176" s="77"/>
      <c r="N176" s="72"/>
      <c r="O176" s="72"/>
      <c r="P176" s="72"/>
      <c r="Q176" s="72"/>
      <c r="R176" s="77"/>
      <c r="S176" s="72"/>
      <c r="T176" s="72"/>
      <c r="U176" s="334"/>
      <c r="V176" s="72"/>
      <c r="W176" s="72"/>
      <c r="X176" s="72"/>
      <c r="Y176" s="72"/>
      <c r="Z176" s="72"/>
      <c r="AA176" s="54"/>
      <c r="AB176" s="355"/>
      <c r="AC176" s="355"/>
      <c r="AD176" s="355"/>
      <c r="AE176" s="355"/>
    </row>
    <row r="177" spans="1:31" s="216" customFormat="1" ht="11.25" customHeight="1">
      <c r="A177" s="613"/>
      <c r="B177" s="77"/>
      <c r="C177" s="77"/>
      <c r="K177" s="72"/>
      <c r="L177" s="77"/>
      <c r="M177" s="77"/>
      <c r="N177" s="72"/>
      <c r="O177" s="72"/>
      <c r="P177" s="72"/>
      <c r="Q177" s="72"/>
      <c r="R177" s="77"/>
      <c r="S177" s="72"/>
      <c r="T177" s="72"/>
      <c r="U177" s="334"/>
      <c r="V177" s="72"/>
      <c r="W177" s="72"/>
      <c r="X177" s="72"/>
      <c r="Y177" s="72"/>
      <c r="Z177" s="72"/>
      <c r="AA177" s="54"/>
      <c r="AB177" s="355"/>
      <c r="AC177" s="355"/>
      <c r="AD177" s="355"/>
      <c r="AE177" s="355"/>
    </row>
    <row r="178" spans="1:31" s="216" customFormat="1" ht="11.25" customHeight="1">
      <c r="A178" s="613"/>
      <c r="B178" s="77"/>
      <c r="C178" s="77"/>
      <c r="K178" s="72"/>
      <c r="L178" s="77"/>
      <c r="M178" s="77"/>
      <c r="N178" s="72"/>
      <c r="O178" s="72"/>
      <c r="P178" s="72"/>
      <c r="Q178" s="72"/>
      <c r="R178" s="77"/>
      <c r="S178" s="72"/>
      <c r="T178" s="72"/>
      <c r="U178" s="334"/>
      <c r="V178" s="72"/>
      <c r="W178" s="72"/>
      <c r="X178" s="72"/>
      <c r="Y178" s="72"/>
      <c r="Z178" s="72"/>
      <c r="AA178" s="54"/>
      <c r="AB178" s="355"/>
      <c r="AC178" s="355"/>
      <c r="AD178" s="355"/>
      <c r="AE178" s="355"/>
    </row>
    <row r="179" spans="1:31" s="216" customFormat="1" ht="11.25" customHeight="1">
      <c r="A179" s="613"/>
      <c r="B179" s="77"/>
      <c r="C179" s="77"/>
      <c r="K179" s="72"/>
      <c r="L179" s="77"/>
      <c r="M179" s="77"/>
      <c r="N179" s="72"/>
      <c r="O179" s="72"/>
      <c r="P179" s="72"/>
      <c r="Q179" s="72"/>
      <c r="R179" s="77"/>
      <c r="S179" s="72"/>
      <c r="T179" s="72"/>
      <c r="U179" s="334"/>
      <c r="V179" s="72"/>
      <c r="W179" s="72"/>
      <c r="X179" s="72"/>
      <c r="Y179" s="72"/>
      <c r="Z179" s="72"/>
      <c r="AA179" s="54"/>
      <c r="AB179" s="355"/>
      <c r="AC179" s="355"/>
      <c r="AD179" s="355"/>
      <c r="AE179" s="355"/>
    </row>
    <row r="180" spans="1:31" s="216" customFormat="1" ht="11.25" customHeight="1">
      <c r="A180" s="613"/>
      <c r="B180" s="77"/>
      <c r="C180" s="77"/>
      <c r="K180" s="72"/>
      <c r="L180" s="77"/>
      <c r="M180" s="77"/>
      <c r="N180" s="72"/>
      <c r="O180" s="72"/>
      <c r="P180" s="72"/>
      <c r="Q180" s="72"/>
      <c r="R180" s="77"/>
      <c r="S180" s="72"/>
      <c r="T180" s="72"/>
      <c r="U180" s="334"/>
      <c r="V180" s="72"/>
      <c r="W180" s="72"/>
      <c r="X180" s="72"/>
      <c r="Y180" s="72"/>
      <c r="Z180" s="72"/>
      <c r="AA180" s="54"/>
      <c r="AB180" s="355"/>
      <c r="AC180" s="355"/>
      <c r="AD180" s="355"/>
      <c r="AE180" s="355"/>
    </row>
    <row r="181" spans="1:31" s="216" customFormat="1" ht="11.25" customHeight="1">
      <c r="A181" s="613"/>
      <c r="B181" s="77"/>
      <c r="C181" s="77"/>
      <c r="K181" s="72"/>
      <c r="L181" s="77"/>
      <c r="M181" s="77"/>
      <c r="N181" s="72"/>
      <c r="O181" s="72"/>
      <c r="P181" s="72"/>
      <c r="Q181" s="72"/>
      <c r="R181" s="77"/>
      <c r="S181" s="72"/>
      <c r="T181" s="72"/>
      <c r="U181" s="334"/>
      <c r="V181" s="72"/>
      <c r="W181" s="72"/>
      <c r="X181" s="72"/>
      <c r="Y181" s="72"/>
      <c r="Z181" s="72"/>
      <c r="AA181" s="54"/>
      <c r="AB181" s="355"/>
      <c r="AC181" s="355"/>
      <c r="AD181" s="355"/>
      <c r="AE181" s="355"/>
    </row>
    <row r="182" spans="1:31" s="216" customFormat="1" ht="11.25" customHeight="1">
      <c r="A182" s="613"/>
      <c r="B182" s="77"/>
      <c r="C182" s="77"/>
      <c r="K182" s="72"/>
      <c r="L182" s="77"/>
      <c r="M182" s="77"/>
      <c r="N182" s="72"/>
      <c r="O182" s="72"/>
      <c r="P182" s="72"/>
      <c r="Q182" s="72"/>
      <c r="R182" s="77"/>
      <c r="S182" s="72"/>
      <c r="T182" s="72"/>
      <c r="U182" s="334"/>
      <c r="V182" s="72"/>
      <c r="W182" s="72"/>
      <c r="X182" s="72"/>
      <c r="Y182" s="72"/>
      <c r="Z182" s="72"/>
      <c r="AA182" s="54"/>
      <c r="AB182" s="355"/>
      <c r="AC182" s="355"/>
      <c r="AD182" s="355"/>
      <c r="AE182" s="355"/>
    </row>
    <row r="183" spans="1:31" s="216" customFormat="1" ht="11.25" customHeight="1">
      <c r="A183" s="613"/>
      <c r="B183" s="77"/>
      <c r="C183" s="77"/>
      <c r="K183" s="72"/>
      <c r="L183" s="77"/>
      <c r="M183" s="77"/>
      <c r="N183" s="72"/>
      <c r="O183" s="72"/>
      <c r="P183" s="72"/>
      <c r="Q183" s="72"/>
      <c r="R183" s="77"/>
      <c r="S183" s="72"/>
      <c r="T183" s="72"/>
      <c r="U183" s="334"/>
      <c r="V183" s="72"/>
      <c r="W183" s="72"/>
      <c r="X183" s="72"/>
      <c r="Y183" s="72"/>
      <c r="Z183" s="72"/>
      <c r="AA183" s="54"/>
      <c r="AB183" s="355"/>
      <c r="AC183" s="355"/>
      <c r="AD183" s="355"/>
      <c r="AE183" s="355"/>
    </row>
    <row r="184" spans="1:31" s="216" customFormat="1" ht="11.25" customHeight="1">
      <c r="A184" s="613"/>
      <c r="B184" s="77"/>
      <c r="C184" s="77"/>
      <c r="K184" s="72"/>
      <c r="L184" s="77"/>
      <c r="M184" s="77"/>
      <c r="N184" s="72"/>
      <c r="O184" s="72"/>
      <c r="P184" s="72"/>
      <c r="Q184" s="72"/>
      <c r="R184" s="77"/>
      <c r="S184" s="72"/>
      <c r="T184" s="72"/>
      <c r="U184" s="334"/>
      <c r="V184" s="72"/>
      <c r="W184" s="72"/>
      <c r="X184" s="72"/>
      <c r="Y184" s="72"/>
      <c r="Z184" s="72"/>
      <c r="AA184" s="54"/>
      <c r="AB184" s="355"/>
      <c r="AC184" s="355"/>
      <c r="AD184" s="355"/>
      <c r="AE184" s="355"/>
    </row>
    <row r="185" spans="1:31" s="216" customFormat="1" ht="11.25" customHeight="1">
      <c r="A185" s="613"/>
      <c r="B185" s="77"/>
      <c r="C185" s="77"/>
      <c r="K185" s="72"/>
      <c r="L185" s="77"/>
      <c r="M185" s="77"/>
      <c r="N185" s="72"/>
      <c r="O185" s="72"/>
      <c r="P185" s="72"/>
      <c r="Q185" s="72"/>
      <c r="R185" s="77"/>
      <c r="S185" s="72"/>
      <c r="T185" s="72"/>
      <c r="U185" s="334"/>
      <c r="V185" s="72"/>
      <c r="W185" s="72"/>
      <c r="X185" s="72"/>
      <c r="Y185" s="72"/>
      <c r="Z185" s="72"/>
      <c r="AA185" s="54"/>
      <c r="AB185" s="355"/>
      <c r="AC185" s="355"/>
      <c r="AD185" s="355"/>
      <c r="AE185" s="355"/>
    </row>
    <row r="186" spans="1:31" s="216" customFormat="1" ht="11.25" customHeight="1">
      <c r="A186" s="613"/>
      <c r="B186" s="77"/>
      <c r="C186" s="77"/>
      <c r="K186" s="72"/>
      <c r="L186" s="77"/>
      <c r="M186" s="77"/>
      <c r="N186" s="72"/>
      <c r="O186" s="72"/>
      <c r="P186" s="72"/>
      <c r="Q186" s="72"/>
      <c r="R186" s="77"/>
      <c r="S186" s="72"/>
      <c r="T186" s="72"/>
      <c r="U186" s="334"/>
      <c r="V186" s="72"/>
      <c r="W186" s="72"/>
      <c r="X186" s="72"/>
      <c r="Y186" s="72"/>
      <c r="Z186" s="72"/>
      <c r="AA186" s="54"/>
      <c r="AB186" s="355"/>
      <c r="AC186" s="355"/>
      <c r="AD186" s="355"/>
      <c r="AE186" s="355"/>
    </row>
    <row r="187" spans="1:31" s="216" customFormat="1" ht="11.25" customHeight="1">
      <c r="A187" s="613"/>
      <c r="B187" s="77"/>
      <c r="C187" s="77"/>
      <c r="K187" s="72"/>
      <c r="L187" s="77"/>
      <c r="M187" s="77"/>
      <c r="N187" s="72"/>
      <c r="O187" s="72"/>
      <c r="P187" s="72"/>
      <c r="Q187" s="72"/>
      <c r="R187" s="77"/>
      <c r="S187" s="72"/>
      <c r="T187" s="72"/>
      <c r="U187" s="334"/>
      <c r="V187" s="72"/>
      <c r="W187" s="72"/>
      <c r="X187" s="72"/>
      <c r="Y187" s="72"/>
      <c r="Z187" s="72"/>
      <c r="AA187" s="54"/>
      <c r="AB187" s="355"/>
      <c r="AC187" s="355"/>
      <c r="AD187" s="355"/>
      <c r="AE187" s="355"/>
    </row>
    <row r="188" spans="1:31" s="216" customFormat="1" ht="11.25" customHeight="1">
      <c r="A188" s="613"/>
      <c r="B188" s="77"/>
      <c r="C188" s="77"/>
      <c r="K188" s="72"/>
      <c r="L188" s="77"/>
      <c r="M188" s="77"/>
      <c r="N188" s="72"/>
      <c r="O188" s="72"/>
      <c r="P188" s="72"/>
      <c r="Q188" s="72"/>
      <c r="R188" s="77"/>
      <c r="S188" s="72"/>
      <c r="T188" s="72"/>
      <c r="U188" s="334"/>
      <c r="V188" s="72"/>
      <c r="W188" s="72"/>
      <c r="X188" s="72"/>
      <c r="Y188" s="72"/>
      <c r="Z188" s="72"/>
      <c r="AA188" s="54"/>
      <c r="AB188" s="355"/>
      <c r="AC188" s="355"/>
      <c r="AD188" s="355"/>
      <c r="AE188" s="355"/>
    </row>
    <row r="189" spans="1:31" s="216" customFormat="1" ht="11.25" customHeight="1">
      <c r="A189" s="613"/>
      <c r="B189" s="77"/>
      <c r="C189" s="77"/>
      <c r="K189" s="72"/>
      <c r="L189" s="77"/>
      <c r="M189" s="77"/>
      <c r="N189" s="72"/>
      <c r="O189" s="72"/>
      <c r="P189" s="72"/>
      <c r="Q189" s="72"/>
      <c r="R189" s="77"/>
      <c r="S189" s="72"/>
      <c r="T189" s="72"/>
      <c r="U189" s="334"/>
      <c r="V189" s="72"/>
      <c r="W189" s="72"/>
      <c r="X189" s="72"/>
      <c r="Y189" s="72"/>
      <c r="Z189" s="72"/>
      <c r="AA189" s="54"/>
      <c r="AB189" s="355"/>
      <c r="AC189" s="355"/>
      <c r="AD189" s="355"/>
      <c r="AE189" s="355"/>
    </row>
    <row r="190" spans="1:31" s="216" customFormat="1" ht="11.25" customHeight="1">
      <c r="A190" s="613"/>
      <c r="B190" s="77"/>
      <c r="C190" s="77"/>
      <c r="K190" s="72"/>
      <c r="L190" s="77"/>
      <c r="M190" s="77"/>
      <c r="N190" s="72"/>
      <c r="O190" s="72"/>
      <c r="P190" s="72"/>
      <c r="Q190" s="72"/>
      <c r="R190" s="77"/>
      <c r="S190" s="72"/>
      <c r="T190" s="72"/>
      <c r="U190" s="334"/>
      <c r="V190" s="72"/>
      <c r="W190" s="72"/>
      <c r="X190" s="72"/>
      <c r="Y190" s="72"/>
      <c r="Z190" s="72"/>
      <c r="AA190" s="54"/>
      <c r="AB190" s="355"/>
      <c r="AC190" s="355"/>
      <c r="AD190" s="355"/>
      <c r="AE190" s="355"/>
    </row>
    <row r="191" spans="1:31" s="216" customFormat="1" ht="11.25" customHeight="1">
      <c r="A191" s="613"/>
      <c r="B191" s="77"/>
      <c r="C191" s="77"/>
      <c r="K191" s="72"/>
      <c r="L191" s="77"/>
      <c r="M191" s="77"/>
      <c r="N191" s="72"/>
      <c r="O191" s="72"/>
      <c r="P191" s="72"/>
      <c r="Q191" s="72"/>
      <c r="R191" s="77"/>
      <c r="S191" s="72"/>
      <c r="T191" s="72"/>
      <c r="U191" s="334"/>
      <c r="V191" s="72"/>
      <c r="W191" s="72"/>
      <c r="X191" s="72"/>
      <c r="Y191" s="72"/>
      <c r="Z191" s="72"/>
      <c r="AA191" s="54"/>
      <c r="AB191" s="355"/>
      <c r="AC191" s="355"/>
      <c r="AD191" s="355"/>
      <c r="AE191" s="355"/>
    </row>
    <row r="192" spans="1:31" s="216" customFormat="1" ht="11.25" customHeight="1">
      <c r="A192" s="613"/>
      <c r="B192" s="77"/>
      <c r="C192" s="77"/>
      <c r="K192" s="72"/>
      <c r="L192" s="77"/>
      <c r="M192" s="77"/>
      <c r="N192" s="72"/>
      <c r="O192" s="72"/>
      <c r="P192" s="72"/>
      <c r="Q192" s="72"/>
      <c r="R192" s="77"/>
      <c r="S192" s="72"/>
      <c r="T192" s="72"/>
      <c r="U192" s="334"/>
      <c r="V192" s="72"/>
      <c r="W192" s="72"/>
      <c r="X192" s="72"/>
      <c r="Y192" s="72"/>
      <c r="Z192" s="72"/>
      <c r="AA192" s="54"/>
      <c r="AB192" s="355"/>
      <c r="AC192" s="355"/>
      <c r="AD192" s="355"/>
      <c r="AE192" s="355"/>
    </row>
    <row r="193" spans="1:31" s="216" customFormat="1" ht="11.25" customHeight="1">
      <c r="A193" s="613"/>
      <c r="B193" s="77"/>
      <c r="C193" s="77"/>
      <c r="K193" s="72"/>
      <c r="L193" s="77"/>
      <c r="M193" s="77"/>
      <c r="N193" s="72"/>
      <c r="O193" s="72"/>
      <c r="P193" s="72"/>
      <c r="Q193" s="72"/>
      <c r="R193" s="77"/>
      <c r="S193" s="72"/>
      <c r="T193" s="72"/>
      <c r="U193" s="334"/>
      <c r="V193" s="72"/>
      <c r="W193" s="72"/>
      <c r="X193" s="72"/>
      <c r="Y193" s="72"/>
      <c r="Z193" s="72"/>
      <c r="AA193" s="54"/>
      <c r="AB193" s="355"/>
      <c r="AC193" s="355"/>
      <c r="AD193" s="355"/>
      <c r="AE193" s="355"/>
    </row>
    <row r="194" spans="1:31" s="216" customFormat="1" ht="11.25" customHeight="1">
      <c r="A194" s="613"/>
      <c r="B194" s="77"/>
      <c r="C194" s="77"/>
      <c r="K194" s="72"/>
      <c r="L194" s="77"/>
      <c r="M194" s="77"/>
      <c r="N194" s="72"/>
      <c r="O194" s="72"/>
      <c r="P194" s="72"/>
      <c r="Q194" s="72"/>
      <c r="R194" s="77"/>
      <c r="S194" s="72"/>
      <c r="T194" s="72"/>
      <c r="U194" s="334"/>
      <c r="V194" s="72"/>
      <c r="W194" s="72"/>
      <c r="X194" s="72"/>
      <c r="Y194" s="72"/>
      <c r="Z194" s="72"/>
      <c r="AA194" s="54"/>
      <c r="AB194" s="355"/>
      <c r="AC194" s="355"/>
      <c r="AD194" s="355"/>
      <c r="AE194" s="355"/>
    </row>
    <row r="195" spans="1:31" s="216" customFormat="1" ht="11.25" customHeight="1">
      <c r="A195" s="613"/>
      <c r="B195" s="77"/>
      <c r="C195" s="77"/>
      <c r="K195" s="72"/>
      <c r="L195" s="77"/>
      <c r="M195" s="77"/>
      <c r="N195" s="72"/>
      <c r="O195" s="72"/>
      <c r="P195" s="72"/>
      <c r="Q195" s="72"/>
      <c r="R195" s="77"/>
      <c r="S195" s="72"/>
      <c r="T195" s="72"/>
      <c r="U195" s="334"/>
      <c r="V195" s="72"/>
      <c r="W195" s="72"/>
      <c r="X195" s="72"/>
      <c r="Y195" s="72"/>
      <c r="Z195" s="72"/>
      <c r="AA195" s="54"/>
      <c r="AB195" s="355"/>
      <c r="AC195" s="355"/>
      <c r="AD195" s="355"/>
      <c r="AE195" s="355"/>
    </row>
    <row r="199" spans="1:31" ht="11.25" customHeight="1">
      <c r="A199" s="616"/>
      <c r="B199" s="24"/>
      <c r="K199" s="24"/>
      <c r="N199" s="24"/>
      <c r="O199" s="24"/>
      <c r="P199" s="24"/>
      <c r="Q199" s="24"/>
      <c r="S199" s="24"/>
      <c r="T199" s="24"/>
      <c r="U199" s="24"/>
      <c r="V199" s="24"/>
      <c r="W199" s="24"/>
      <c r="X199" s="24"/>
      <c r="Y199" s="24"/>
      <c r="Z199" s="24"/>
      <c r="AA199" s="24"/>
      <c r="AB199" s="24"/>
      <c r="AC199" s="24"/>
      <c r="AD199" s="24"/>
      <c r="AE199" s="24"/>
    </row>
    <row r="200" spans="1:31" ht="11.25" customHeight="1">
      <c r="A200" s="616"/>
      <c r="B200" s="24"/>
      <c r="K200" s="24"/>
      <c r="N200" s="24"/>
      <c r="O200" s="24"/>
      <c r="P200" s="24"/>
      <c r="Q200" s="24"/>
      <c r="S200" s="24"/>
      <c r="T200" s="24"/>
      <c r="U200" s="24"/>
      <c r="V200" s="24"/>
      <c r="W200" s="24"/>
      <c r="X200" s="24"/>
      <c r="Y200" s="24"/>
      <c r="Z200" s="24"/>
      <c r="AA200" s="24"/>
      <c r="AB200" s="24"/>
      <c r="AC200" s="24"/>
      <c r="AD200" s="24"/>
      <c r="AE200" s="24"/>
    </row>
    <row r="201" spans="1:31" ht="11.25" customHeight="1">
      <c r="A201" s="616"/>
      <c r="B201" s="24"/>
      <c r="K201" s="24"/>
      <c r="N201" s="24"/>
      <c r="O201" s="24"/>
      <c r="P201" s="24"/>
      <c r="Q201" s="24"/>
      <c r="S201" s="24"/>
      <c r="T201" s="24"/>
      <c r="U201" s="24"/>
      <c r="V201" s="24"/>
      <c r="W201" s="24"/>
      <c r="X201" s="24"/>
      <c r="Y201" s="24"/>
      <c r="Z201" s="24"/>
      <c r="AA201" s="24"/>
      <c r="AB201" s="24"/>
      <c r="AC201" s="24"/>
      <c r="AD201" s="24"/>
      <c r="AE201" s="24"/>
    </row>
    <row r="202" spans="1:31" ht="11.25" customHeight="1">
      <c r="A202" s="616"/>
      <c r="B202" s="24"/>
      <c r="K202" s="24"/>
      <c r="N202" s="24"/>
      <c r="O202" s="24"/>
      <c r="P202" s="24"/>
      <c r="Q202" s="24"/>
      <c r="S202" s="24"/>
      <c r="T202" s="24"/>
      <c r="U202" s="24"/>
      <c r="V202" s="24"/>
      <c r="W202" s="24"/>
      <c r="X202" s="24"/>
      <c r="Y202" s="24"/>
      <c r="Z202" s="24"/>
      <c r="AA202" s="24"/>
      <c r="AB202" s="24"/>
      <c r="AC202" s="24"/>
      <c r="AD202" s="24"/>
      <c r="AE202" s="24"/>
    </row>
    <row r="203" spans="1:31" ht="11.25" customHeight="1">
      <c r="A203" s="616"/>
      <c r="B203" s="24"/>
      <c r="K203" s="24"/>
      <c r="N203" s="24"/>
      <c r="O203" s="24"/>
      <c r="P203" s="24"/>
      <c r="Q203" s="24"/>
      <c r="S203" s="24"/>
      <c r="T203" s="24"/>
      <c r="U203" s="24"/>
      <c r="V203" s="24"/>
      <c r="W203" s="24"/>
      <c r="X203" s="24"/>
      <c r="Y203" s="24"/>
      <c r="Z203" s="24"/>
      <c r="AA203" s="24"/>
      <c r="AB203" s="24"/>
      <c r="AC203" s="24"/>
      <c r="AD203" s="24"/>
      <c r="AE203" s="24"/>
    </row>
    <row r="204" spans="1:31" ht="11.25" customHeight="1">
      <c r="A204" s="616"/>
      <c r="B204" s="24"/>
      <c r="K204" s="24"/>
      <c r="N204" s="24"/>
      <c r="O204" s="24"/>
      <c r="P204" s="24"/>
      <c r="Q204" s="24"/>
      <c r="S204" s="24"/>
      <c r="T204" s="24"/>
      <c r="U204" s="24"/>
      <c r="V204" s="24"/>
      <c r="W204" s="24"/>
      <c r="X204" s="24"/>
      <c r="Y204" s="24"/>
      <c r="Z204" s="24"/>
      <c r="AA204" s="24"/>
      <c r="AB204" s="24"/>
      <c r="AC204" s="24"/>
      <c r="AD204" s="24"/>
      <c r="AE204" s="24"/>
    </row>
    <row r="205" spans="1:31" ht="11.25" customHeight="1">
      <c r="A205" s="616"/>
      <c r="B205" s="24"/>
      <c r="K205" s="24"/>
      <c r="N205" s="24"/>
      <c r="O205" s="24"/>
      <c r="P205" s="24"/>
      <c r="Q205" s="24"/>
      <c r="S205" s="24"/>
      <c r="T205" s="24"/>
      <c r="U205" s="24"/>
      <c r="V205" s="24"/>
      <c r="W205" s="24"/>
      <c r="X205" s="24"/>
      <c r="Y205" s="24"/>
      <c r="Z205" s="24"/>
      <c r="AA205" s="24"/>
      <c r="AB205" s="24"/>
      <c r="AC205" s="24"/>
      <c r="AD205" s="24"/>
      <c r="AE205" s="24"/>
    </row>
    <row r="206" spans="1:31" ht="11.25" customHeight="1">
      <c r="A206" s="616"/>
      <c r="B206" s="24"/>
      <c r="K206" s="24"/>
      <c r="N206" s="24"/>
      <c r="O206" s="24"/>
      <c r="P206" s="24"/>
      <c r="Q206" s="24"/>
      <c r="S206" s="24"/>
      <c r="T206" s="24"/>
      <c r="U206" s="24"/>
      <c r="V206" s="24"/>
      <c r="W206" s="24"/>
      <c r="X206" s="24"/>
      <c r="Y206" s="24"/>
      <c r="Z206" s="24"/>
      <c r="AA206" s="24"/>
      <c r="AB206" s="24"/>
      <c r="AC206" s="24"/>
      <c r="AD206" s="24"/>
      <c r="AE206" s="24"/>
    </row>
    <row r="207" spans="1:31" ht="11.25" customHeight="1">
      <c r="A207" s="616"/>
      <c r="B207" s="24"/>
      <c r="K207" s="24"/>
      <c r="N207" s="24"/>
      <c r="O207" s="24"/>
      <c r="P207" s="24"/>
      <c r="Q207" s="24"/>
      <c r="S207" s="24"/>
      <c r="T207" s="24"/>
      <c r="U207" s="24"/>
      <c r="V207" s="24"/>
      <c r="W207" s="24"/>
      <c r="X207" s="24"/>
      <c r="Y207" s="24"/>
      <c r="Z207" s="24"/>
      <c r="AA207" s="24"/>
      <c r="AB207" s="24"/>
      <c r="AC207" s="24"/>
      <c r="AD207" s="24"/>
      <c r="AE207" s="24"/>
    </row>
    <row r="208" spans="1:31" ht="11.25" customHeight="1">
      <c r="A208" s="616"/>
      <c r="B208" s="24"/>
      <c r="K208" s="24"/>
      <c r="N208" s="24"/>
      <c r="O208" s="24"/>
      <c r="P208" s="24"/>
      <c r="Q208" s="24"/>
      <c r="S208" s="24"/>
      <c r="T208" s="24"/>
      <c r="U208" s="24"/>
      <c r="V208" s="24"/>
      <c r="W208" s="24"/>
      <c r="X208" s="24"/>
      <c r="Y208" s="24"/>
      <c r="Z208" s="24"/>
      <c r="AA208" s="24"/>
      <c r="AB208" s="24"/>
      <c r="AC208" s="24"/>
      <c r="AD208" s="24"/>
      <c r="AE208" s="24"/>
    </row>
    <row r="209" spans="1:31" ht="11.25" customHeight="1">
      <c r="A209" s="616"/>
      <c r="B209" s="24"/>
      <c r="K209" s="24"/>
      <c r="N209" s="24"/>
      <c r="O209" s="24"/>
      <c r="P209" s="24"/>
      <c r="Q209" s="24"/>
      <c r="S209" s="24"/>
      <c r="T209" s="24"/>
      <c r="U209" s="24"/>
      <c r="V209" s="24"/>
      <c r="W209" s="24"/>
      <c r="X209" s="24"/>
      <c r="Y209" s="24"/>
      <c r="Z209" s="24"/>
      <c r="AA209" s="24"/>
      <c r="AB209" s="24"/>
      <c r="AC209" s="24"/>
      <c r="AD209" s="24"/>
      <c r="AE209" s="24"/>
    </row>
  </sheetData>
  <sheetProtection formatColumns="0" formatRows="0" insertRows="0" deleteColumns="0" deleteRows="0" sort="0" autoFilter="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xr:uid="{00000000-0002-0000-2A00-000000000000}">
      <formula1>-9.99999999999999E+37</formula1>
      <formula2>9.99999999999999E+37</formula2>
    </dataValidation>
    <dataValidation type="decimal" allowBlank="1" showErrorMessage="1" errorTitle="Ошибка" error="Допускается ввод только действительных чисел!" sqref="H30:I30" xr:uid="{00000000-0002-0000-2A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xr:uid="{00000000-0002-0000-2A00-000002000000}">
      <formula1>900</formula1>
    </dataValidation>
    <dataValidation type="decimal" allowBlank="1" showErrorMessage="1" errorTitle="Ошибка" error="Допускается ввод только неотрицательных чисел!" sqref="H31:I31 H2:I2 H15:I15 H17:I27 H36:I37" xr:uid="{00000000-0002-0000-2A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A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7CCB2E-F80C-A151-6E7A-B7C5BE0F31E8}">
  <sheetPr>
    <tabColor theme="9" tint="-0.249977111117893"/>
  </sheetPr>
  <dimension ref="A1:W101"/>
  <sheetViews>
    <sheetView showGridLines="0" topLeftCell="C2" zoomScale="90" workbookViewId="0"/>
  </sheetViews>
  <sheetFormatPr defaultColWidth="10.5703125" defaultRowHeight="11.25" customHeight="1"/>
  <cols>
    <col min="1" max="1" width="9.140625" style="328" hidden="1" customWidth="1"/>
    <col min="2" max="2" width="3.5703125" style="77" hidden="1" customWidth="1"/>
    <col min="3" max="3" width="3.7109375" style="24" customWidth="1"/>
    <col min="4" max="4" width="7.7109375" style="24" customWidth="1"/>
    <col min="5" max="5" width="69.85546875" style="24" customWidth="1"/>
    <col min="6" max="6" width="11.140625" style="24" customWidth="1"/>
    <col min="7" max="8" width="44" style="24" hidden="1" customWidth="1"/>
    <col min="9" max="10" width="44" style="24" customWidth="1"/>
    <col min="11" max="11" width="74" style="24" customWidth="1"/>
    <col min="12" max="12" width="3.7109375" style="24" customWidth="1"/>
    <col min="13" max="23" width="10.5703125" style="24"/>
  </cols>
  <sheetData>
    <row r="1" spans="1:12" s="72" customFormat="1" ht="11.25" hidden="1" customHeight="1">
      <c r="A1" s="328"/>
      <c r="B1" s="77"/>
      <c r="G1" s="72">
        <v>4</v>
      </c>
      <c r="I1" s="72">
        <v>4</v>
      </c>
      <c r="K1" s="72">
        <v>5</v>
      </c>
    </row>
    <row r="2" spans="1:12" ht="3" customHeight="1"/>
    <row r="3" spans="1:12" ht="35.25" customHeight="1">
      <c r="D3" s="1116"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1117"/>
      <c r="F3" s="1118"/>
    </row>
    <row r="4" spans="1:12" s="24" customFormat="1" ht="20.25" customHeight="1">
      <c r="A4" s="328"/>
      <c r="B4" s="77"/>
      <c r="D4" s="1228" t="str">
        <f>IF(org=0,"Не определено",org)</f>
        <v>ООО "ТЕПЛО ПЛЮС"</v>
      </c>
      <c r="E4" s="1229"/>
      <c r="F4" s="1230"/>
    </row>
    <row r="5" spans="1:12" ht="11.25" customHeight="1">
      <c r="H5" s="463"/>
      <c r="J5" s="463"/>
    </row>
    <row r="6" spans="1:12" ht="0.75" customHeight="1">
      <c r="E6" s="68"/>
      <c r="F6" s="4"/>
      <c r="G6" s="640"/>
      <c r="H6" s="640"/>
      <c r="I6" s="640" t="s">
        <v>117</v>
      </c>
      <c r="J6" s="640"/>
    </row>
    <row r="7" spans="1:12" ht="11.25" customHeight="1">
      <c r="D7" s="435"/>
      <c r="E7" s="1411" t="s">
        <v>105</v>
      </c>
      <c r="F7" s="1412"/>
      <c r="G7" s="1453" t="str">
        <f>IF(G6="","",INDEX(DIFFERENTIATION_UNMERGE_VD,MATCH(G6,DIFFERENTIATION_ID_DIFF,0)))</f>
        <v/>
      </c>
      <c r="H7" s="1454"/>
      <c r="I7" s="1453" t="str">
        <f>IF(I6="","",INDEX(DIFFERENTIATION_UNMERGE_VD,MATCH(I6,DIFFERENTIATION_ID_DIFF,0)))</f>
        <v>Производство тепловой энергии. Некомбинированная выработка</v>
      </c>
      <c r="J7" s="1454"/>
      <c r="K7" s="1182"/>
    </row>
    <row r="8" spans="1:12" ht="11.25" customHeight="1">
      <c r="D8" s="435"/>
      <c r="E8" s="1411" t="s">
        <v>1421</v>
      </c>
      <c r="F8" s="1412"/>
      <c r="G8" s="1453" t="str">
        <f>IF(G6="","",INDEX(DIFFERENTIATION_UNMERGE_AREA,MATCH(G6,DIFFERENTIATION_ID_DIFF,0)))</f>
        <v/>
      </c>
      <c r="H8" s="1454"/>
      <c r="I8" s="1453" t="str">
        <f>IF(I6="","",INDEX(DIFFERENTIATION_UNMERGE_AREA,MATCH(I6,DIFFERENTIATION_ID_DIFF,0)))</f>
        <v>без дифференциации</v>
      </c>
      <c r="J8" s="1454"/>
      <c r="K8" s="1187"/>
    </row>
    <row r="9" spans="1:12" ht="11.25" customHeight="1">
      <c r="D9" s="435"/>
      <c r="E9" s="1411" t="s">
        <v>1422</v>
      </c>
      <c r="F9" s="1412"/>
      <c r="G9" s="1453" t="str">
        <f>IF(G6="","",INDEX(DIFFERENTIATION_UNMERGE_SYSTEM,MATCH(G6,DIFFERENTIATION_ID_DIFF,0)))</f>
        <v/>
      </c>
      <c r="H9" s="1454"/>
      <c r="I9" s="1453" t="str">
        <f>IF(I6="","",INDEX(DIFFERENTIATION_UNMERGE_SYSTEM,MATCH(I6,DIFFERENTIATION_ID_DIFF,0)))</f>
        <v>без дифференциации</v>
      </c>
      <c r="J9" s="1454"/>
      <c r="K9" s="1187"/>
    </row>
    <row r="10" spans="1:12" s="24" customFormat="1" ht="11.25" customHeight="1">
      <c r="A10" s="328"/>
      <c r="B10" s="77"/>
      <c r="D10" s="1105" t="s">
        <v>292</v>
      </c>
      <c r="E10" s="1110"/>
      <c r="F10" s="1110"/>
      <c r="G10" s="1110"/>
      <c r="H10" s="1110"/>
      <c r="I10" s="1110"/>
      <c r="J10" s="1104"/>
      <c r="K10" s="1187"/>
    </row>
    <row r="11" spans="1:12" s="24" customFormat="1" ht="22.5" customHeight="1">
      <c r="A11" s="1336"/>
      <c r="B11" s="1336"/>
      <c r="C11" s="7"/>
      <c r="D11" s="50" t="s">
        <v>88</v>
      </c>
      <c r="E11" s="50" t="s">
        <v>1851</v>
      </c>
      <c r="F11" s="50" t="s">
        <v>1600</v>
      </c>
      <c r="G11" s="50" t="s">
        <v>295</v>
      </c>
      <c r="H11" s="50" t="s">
        <v>384</v>
      </c>
      <c r="I11" s="50" t="s">
        <v>295</v>
      </c>
      <c r="J11" s="416" t="s">
        <v>384</v>
      </c>
      <c r="K11" s="1238"/>
      <c r="L11" s="399"/>
    </row>
    <row r="12" spans="1:12" s="77" customFormat="1" ht="10.5" customHeight="1">
      <c r="A12" s="338"/>
      <c r="D12" s="338" t="s">
        <v>109</v>
      </c>
      <c r="E12" s="338" t="s">
        <v>110</v>
      </c>
      <c r="F12" s="338" t="s">
        <v>90</v>
      </c>
      <c r="G12" s="127" t="str">
        <f>G1&amp;".1"</f>
        <v>4.1</v>
      </c>
      <c r="H12" s="127" t="str">
        <f>G1&amp;".2"</f>
        <v>4.2</v>
      </c>
      <c r="I12" s="127" t="str">
        <f>I1&amp;".1"</f>
        <v>4.1</v>
      </c>
      <c r="J12" s="127" t="str">
        <f>I1&amp;".2"</f>
        <v>4.2</v>
      </c>
      <c r="K12" s="127"/>
    </row>
    <row r="13" spans="1:12" ht="22.5" customHeight="1">
      <c r="A13" s="1455" t="s">
        <v>392</v>
      </c>
      <c r="D13" s="52" t="s">
        <v>109</v>
      </c>
      <c r="E13" s="157" t="s">
        <v>1601</v>
      </c>
      <c r="F13" s="400" t="s">
        <v>1602</v>
      </c>
      <c r="G13" s="346"/>
      <c r="H13" s="401"/>
      <c r="I13" s="346"/>
      <c r="J13" s="401"/>
      <c r="K13" s="76" t="s">
        <v>1603</v>
      </c>
      <c r="L13" s="443"/>
    </row>
    <row r="14" spans="1:12" ht="22.5" customHeight="1">
      <c r="A14" s="1455"/>
      <c r="D14" s="52" t="s">
        <v>110</v>
      </c>
      <c r="E14" s="157" t="s">
        <v>1604</v>
      </c>
      <c r="F14" s="400" t="s">
        <v>1605</v>
      </c>
      <c r="G14" s="346"/>
      <c r="H14" s="401"/>
      <c r="I14" s="346"/>
      <c r="J14" s="401"/>
      <c r="K14" s="76" t="s">
        <v>1606</v>
      </c>
      <c r="L14" s="443"/>
    </row>
    <row r="15" spans="1:12" s="24" customFormat="1" ht="78.75" customHeight="1">
      <c r="A15" s="1455"/>
      <c r="B15" s="77"/>
      <c r="D15" s="52" t="s">
        <v>90</v>
      </c>
      <c r="E15" s="157" t="s">
        <v>1609</v>
      </c>
      <c r="F15" s="50" t="s">
        <v>298</v>
      </c>
      <c r="G15" s="50" t="s">
        <v>298</v>
      </c>
      <c r="H15" s="46"/>
      <c r="I15" s="50" t="s">
        <v>298</v>
      </c>
      <c r="J15" s="46"/>
      <c r="K15" s="76" t="s">
        <v>1852</v>
      </c>
      <c r="L15" s="443"/>
    </row>
    <row r="16" spans="1:12" s="24" customFormat="1" ht="22.5" customHeight="1">
      <c r="A16" s="1455"/>
      <c r="B16" s="77"/>
      <c r="D16" s="52" t="s">
        <v>318</v>
      </c>
      <c r="E16" s="348" t="s">
        <v>1611</v>
      </c>
      <c r="F16" s="50" t="s">
        <v>1612</v>
      </c>
      <c r="G16" s="502"/>
      <c r="H16" s="46"/>
      <c r="I16" s="502"/>
      <c r="J16" s="46"/>
      <c r="K16" s="76"/>
      <c r="L16" s="443"/>
    </row>
    <row r="17" spans="1:23" s="24" customFormat="1" ht="22.5" customHeight="1">
      <c r="A17" s="1455"/>
      <c r="B17" s="77"/>
      <c r="D17" s="52" t="s">
        <v>326</v>
      </c>
      <c r="E17" s="348" t="s">
        <v>1613</v>
      </c>
      <c r="F17" s="50" t="s">
        <v>1614</v>
      </c>
      <c r="G17" s="502"/>
      <c r="H17" s="46"/>
      <c r="I17" s="502"/>
      <c r="J17" s="46"/>
      <c r="K17" s="76"/>
      <c r="L17" s="443"/>
    </row>
    <row r="18" spans="1:23" s="24" customFormat="1" ht="33.75" customHeight="1">
      <c r="A18" s="1455"/>
      <c r="B18" s="77"/>
      <c r="D18" s="52" t="s">
        <v>328</v>
      </c>
      <c r="E18" s="348" t="s">
        <v>1616</v>
      </c>
      <c r="F18" s="50" t="s">
        <v>1617</v>
      </c>
      <c r="G18" s="413"/>
      <c r="H18" s="46"/>
      <c r="I18" s="413"/>
      <c r="J18" s="46"/>
      <c r="K18" s="76"/>
      <c r="L18" s="443"/>
    </row>
    <row r="19" spans="1:23" ht="101.25" customHeight="1">
      <c r="A19" s="1455"/>
      <c r="D19" s="52" t="s">
        <v>91</v>
      </c>
      <c r="E19" s="157" t="s">
        <v>1853</v>
      </c>
      <c r="F19" s="400" t="s">
        <v>1433</v>
      </c>
      <c r="G19" s="233"/>
      <c r="H19" s="401"/>
      <c r="I19" s="233"/>
      <c r="J19" s="401"/>
      <c r="K19" s="76" t="s">
        <v>1854</v>
      </c>
      <c r="L19" s="443"/>
    </row>
    <row r="20" spans="1:23" s="24" customFormat="1" ht="18.75" customHeight="1">
      <c r="A20" s="1455"/>
      <c r="C20" s="86"/>
      <c r="D20" s="52" t="s">
        <v>613</v>
      </c>
      <c r="E20" s="348" t="s">
        <v>1855</v>
      </c>
      <c r="F20" s="50" t="s">
        <v>298</v>
      </c>
      <c r="G20" s="50" t="s">
        <v>298</v>
      </c>
      <c r="H20" s="366" t="s">
        <v>298</v>
      </c>
      <c r="I20" s="50" t="s">
        <v>298</v>
      </c>
      <c r="J20" s="366" t="s">
        <v>298</v>
      </c>
      <c r="K20" s="416"/>
      <c r="L20" s="443"/>
      <c r="W20" s="410"/>
    </row>
    <row r="21" spans="1:23" s="24" customFormat="1" ht="33.75" customHeight="1">
      <c r="A21" s="1455"/>
      <c r="C21" s="86"/>
      <c r="D21" s="52" t="s">
        <v>622</v>
      </c>
      <c r="E21" s="364" t="s">
        <v>1856</v>
      </c>
      <c r="F21" s="50" t="s">
        <v>1857</v>
      </c>
      <c r="G21" s="583"/>
      <c r="H21" s="46"/>
      <c r="I21" s="583"/>
      <c r="J21" s="46"/>
      <c r="K21" s="416"/>
      <c r="L21" s="443"/>
      <c r="W21" s="410"/>
    </row>
    <row r="22" spans="1:23" s="24" customFormat="1" ht="33.75" customHeight="1">
      <c r="A22" s="1455"/>
      <c r="C22" s="86"/>
      <c r="D22" s="52" t="s">
        <v>628</v>
      </c>
      <c r="E22" s="364" t="s">
        <v>1858</v>
      </c>
      <c r="F22" s="50" t="s">
        <v>1859</v>
      </c>
      <c r="G22" s="583"/>
      <c r="H22" s="46"/>
      <c r="I22" s="583"/>
      <c r="J22" s="46"/>
      <c r="K22" s="416"/>
      <c r="L22" s="443"/>
      <c r="W22" s="410"/>
    </row>
    <row r="23" spans="1:23" s="24" customFormat="1" ht="22.5" customHeight="1">
      <c r="A23" s="1455"/>
      <c r="C23" s="86"/>
      <c r="D23" s="52" t="s">
        <v>632</v>
      </c>
      <c r="E23" s="348" t="s">
        <v>1860</v>
      </c>
      <c r="F23" s="50" t="s">
        <v>298</v>
      </c>
      <c r="G23" s="50" t="s">
        <v>298</v>
      </c>
      <c r="H23" s="366" t="s">
        <v>298</v>
      </c>
      <c r="I23" s="50" t="s">
        <v>298</v>
      </c>
      <c r="J23" s="366" t="s">
        <v>298</v>
      </c>
      <c r="K23" s="416"/>
      <c r="L23" s="443"/>
      <c r="W23" s="410"/>
    </row>
    <row r="24" spans="1:23" s="24" customFormat="1" ht="22.5" customHeight="1">
      <c r="A24" s="1455"/>
      <c r="C24" s="86"/>
      <c r="D24" s="52" t="s">
        <v>1861</v>
      </c>
      <c r="E24" s="364" t="s">
        <v>1862</v>
      </c>
      <c r="F24" s="50" t="s">
        <v>1863</v>
      </c>
      <c r="G24" s="583"/>
      <c r="H24" s="418"/>
      <c r="I24" s="583"/>
      <c r="J24" s="418"/>
      <c r="K24" s="416"/>
      <c r="L24" s="443"/>
      <c r="W24" s="410"/>
    </row>
    <row r="25" spans="1:23" s="24" customFormat="1" ht="22.5" customHeight="1">
      <c r="A25" s="1455"/>
      <c r="C25" s="86"/>
      <c r="D25" s="52" t="s">
        <v>1864</v>
      </c>
      <c r="E25" s="364" t="s">
        <v>1865</v>
      </c>
      <c r="F25" s="50" t="s">
        <v>298</v>
      </c>
      <c r="G25" s="50" t="s">
        <v>298</v>
      </c>
      <c r="H25" s="366" t="s">
        <v>298</v>
      </c>
      <c r="I25" s="50" t="s">
        <v>298</v>
      </c>
      <c r="J25" s="366" t="s">
        <v>298</v>
      </c>
      <c r="K25" s="416"/>
      <c r="L25" s="443"/>
      <c r="W25" s="410"/>
    </row>
    <row r="26" spans="1:23" s="24" customFormat="1" ht="18.75" customHeight="1">
      <c r="A26" s="1455"/>
      <c r="C26" s="86"/>
      <c r="D26" s="52" t="s">
        <v>1866</v>
      </c>
      <c r="E26" s="343" t="s">
        <v>1867</v>
      </c>
      <c r="F26" s="50" t="s">
        <v>1868</v>
      </c>
      <c r="G26" s="413"/>
      <c r="H26" s="418"/>
      <c r="I26" s="413"/>
      <c r="J26" s="418"/>
      <c r="K26" s="416"/>
      <c r="L26" s="443"/>
      <c r="W26" s="410"/>
    </row>
    <row r="27" spans="1:23" s="24" customFormat="1" ht="18.75" customHeight="1">
      <c r="A27" s="1455"/>
      <c r="C27" s="86"/>
      <c r="D27" s="52" t="s">
        <v>1869</v>
      </c>
      <c r="E27" s="343" t="s">
        <v>1870</v>
      </c>
      <c r="F27" s="50" t="s">
        <v>1871</v>
      </c>
      <c r="G27" s="413"/>
      <c r="H27" s="418"/>
      <c r="I27" s="413"/>
      <c r="J27" s="418"/>
      <c r="K27" s="416"/>
      <c r="L27" s="443"/>
      <c r="W27" s="410"/>
    </row>
    <row r="28" spans="1:23" s="24" customFormat="1" ht="18.75" customHeight="1">
      <c r="A28" s="1455"/>
      <c r="C28" s="86"/>
      <c r="D28" s="52" t="s">
        <v>1872</v>
      </c>
      <c r="E28" s="364" t="s">
        <v>1873</v>
      </c>
      <c r="F28" s="50" t="s">
        <v>298</v>
      </c>
      <c r="G28" s="50" t="s">
        <v>298</v>
      </c>
      <c r="H28" s="366" t="s">
        <v>298</v>
      </c>
      <c r="I28" s="50" t="s">
        <v>298</v>
      </c>
      <c r="J28" s="366" t="s">
        <v>298</v>
      </c>
      <c r="K28" s="416"/>
      <c r="L28" s="443"/>
      <c r="W28" s="410"/>
    </row>
    <row r="29" spans="1:23" s="24" customFormat="1" ht="18.75" customHeight="1">
      <c r="A29" s="1455"/>
      <c r="C29" s="86"/>
      <c r="D29" s="52" t="s">
        <v>1874</v>
      </c>
      <c r="E29" s="343" t="s">
        <v>1867</v>
      </c>
      <c r="F29" s="50" t="s">
        <v>1875</v>
      </c>
      <c r="G29" s="413"/>
      <c r="H29" s="418"/>
      <c r="I29" s="413"/>
      <c r="J29" s="418"/>
      <c r="K29" s="416"/>
      <c r="L29" s="443"/>
      <c r="W29" s="410"/>
    </row>
    <row r="30" spans="1:23" s="24" customFormat="1" ht="18.75" customHeight="1">
      <c r="A30" s="1455"/>
      <c r="C30" s="86"/>
      <c r="D30" s="52" t="s">
        <v>1876</v>
      </c>
      <c r="E30" s="343" t="s">
        <v>1877</v>
      </c>
      <c r="F30" s="50" t="s">
        <v>1878</v>
      </c>
      <c r="G30" s="413"/>
      <c r="H30" s="418"/>
      <c r="I30" s="413"/>
      <c r="J30" s="418"/>
      <c r="K30" s="416"/>
      <c r="L30" s="443"/>
      <c r="W30" s="410"/>
    </row>
    <row r="31" spans="1:23" ht="126.75" customHeight="1">
      <c r="A31" s="1455"/>
      <c r="D31" s="52" t="s">
        <v>111</v>
      </c>
      <c r="E31" s="157" t="s">
        <v>1879</v>
      </c>
      <c r="F31" s="400" t="s">
        <v>1619</v>
      </c>
      <c r="G31" s="346"/>
      <c r="H31" s="401"/>
      <c r="I31" s="346"/>
      <c r="J31" s="401"/>
      <c r="K31" s="76" t="s">
        <v>1880</v>
      </c>
      <c r="L31" s="443"/>
    </row>
    <row r="32" spans="1:23" ht="56.25" customHeight="1">
      <c r="A32" s="1455"/>
      <c r="D32" s="52" t="s">
        <v>92</v>
      </c>
      <c r="E32" s="157" t="s">
        <v>1881</v>
      </c>
      <c r="F32" s="52" t="s">
        <v>1614</v>
      </c>
      <c r="G32" s="346"/>
      <c r="H32" s="401"/>
      <c r="I32" s="346"/>
      <c r="J32" s="401"/>
      <c r="K32" s="76" t="s">
        <v>1882</v>
      </c>
      <c r="L32" s="443"/>
    </row>
    <row r="33" spans="1:11" ht="11.25" customHeight="1">
      <c r="A33" s="1455"/>
      <c r="E33" s="402"/>
      <c r="F33" s="101"/>
      <c r="G33" s="101"/>
      <c r="H33" s="101"/>
      <c r="I33" s="101"/>
      <c r="J33" s="101"/>
      <c r="K33" s="101"/>
    </row>
    <row r="34" spans="1:11" ht="12.75" customHeight="1">
      <c r="A34" s="1455"/>
      <c r="D34" s="7">
        <v>1</v>
      </c>
      <c r="E34" s="209" t="s">
        <v>1883</v>
      </c>
    </row>
    <row r="35" spans="1:11" ht="11.25" customHeight="1">
      <c r="A35" s="1455"/>
      <c r="D35" s="7"/>
      <c r="E35" s="209" t="s">
        <v>1884</v>
      </c>
    </row>
    <row r="36" spans="1:11" s="24" customFormat="1" ht="11.25" customHeight="1">
      <c r="A36" s="328"/>
      <c r="B36" s="77"/>
      <c r="D36" s="7"/>
      <c r="E36" s="209"/>
    </row>
    <row r="37" spans="1:11" s="24" customFormat="1" ht="22.5" hidden="1" customHeight="1">
      <c r="A37" s="1455" t="s">
        <v>393</v>
      </c>
      <c r="B37" s="77"/>
      <c r="D37" s="52">
        <v>1</v>
      </c>
      <c r="E37" s="157" t="s">
        <v>1885</v>
      </c>
      <c r="F37" s="400" t="s">
        <v>1602</v>
      </c>
      <c r="G37" s="346"/>
      <c r="H37" s="320"/>
      <c r="I37" s="346"/>
      <c r="J37" s="320"/>
      <c r="K37" s="76" t="s">
        <v>1886</v>
      </c>
    </row>
    <row r="38" spans="1:11" s="24" customFormat="1" ht="22.5" hidden="1" customHeight="1">
      <c r="A38" s="1455"/>
      <c r="B38" s="77"/>
      <c r="D38" s="407" t="s">
        <v>110</v>
      </c>
      <c r="E38" s="648" t="s">
        <v>1887</v>
      </c>
      <c r="F38" s="649" t="s">
        <v>1433</v>
      </c>
      <c r="G38" s="649" t="s">
        <v>1433</v>
      </c>
      <c r="H38" s="646"/>
      <c r="I38" s="649" t="s">
        <v>1433</v>
      </c>
      <c r="J38" s="646"/>
      <c r="K38" s="647"/>
    </row>
    <row r="39" spans="1:11" s="24" customFormat="1" ht="33.75" hidden="1" customHeight="1">
      <c r="A39" s="1455"/>
      <c r="B39" s="77"/>
      <c r="D39" s="403" t="s">
        <v>1458</v>
      </c>
      <c r="E39" s="446" t="s">
        <v>1888</v>
      </c>
      <c r="F39" s="400" t="s">
        <v>1889</v>
      </c>
      <c r="G39" s="406"/>
      <c r="H39" s="641"/>
      <c r="I39" s="406"/>
      <c r="J39" s="641"/>
      <c r="K39" s="76" t="s">
        <v>1890</v>
      </c>
    </row>
    <row r="40" spans="1:11" s="24" customFormat="1" ht="33.75" hidden="1" customHeight="1">
      <c r="A40" s="1455"/>
      <c r="B40" s="77"/>
      <c r="D40" s="403" t="s">
        <v>1782</v>
      </c>
      <c r="E40" s="446" t="s">
        <v>1891</v>
      </c>
      <c r="F40" s="643" t="s">
        <v>1892</v>
      </c>
      <c r="G40" s="456"/>
      <c r="H40" s="641"/>
      <c r="I40" s="456"/>
      <c r="J40" s="641"/>
      <c r="K40" s="76" t="s">
        <v>1893</v>
      </c>
    </row>
    <row r="41" spans="1:11" s="24" customFormat="1" ht="22.5" hidden="1" customHeight="1">
      <c r="A41" s="1455"/>
      <c r="B41" s="77"/>
      <c r="D41" s="403" t="s">
        <v>90</v>
      </c>
      <c r="E41" s="445" t="s">
        <v>1894</v>
      </c>
      <c r="F41" s="400" t="s">
        <v>1433</v>
      </c>
      <c r="G41" s="400" t="s">
        <v>1433</v>
      </c>
      <c r="H41" s="642"/>
      <c r="I41" s="400" t="s">
        <v>1433</v>
      </c>
      <c r="J41" s="642"/>
      <c r="K41" s="181"/>
    </row>
    <row r="42" spans="1:11" s="24" customFormat="1" ht="45" hidden="1" customHeight="1">
      <c r="A42" s="1455"/>
      <c r="B42" s="77"/>
      <c r="D42" s="403" t="s">
        <v>318</v>
      </c>
      <c r="E42" s="446" t="s">
        <v>1895</v>
      </c>
      <c r="F42" s="400" t="s">
        <v>1619</v>
      </c>
      <c r="G42" s="346"/>
      <c r="H42" s="642"/>
      <c r="I42" s="346"/>
      <c r="J42" s="642"/>
      <c r="K42" s="181" t="s">
        <v>1896</v>
      </c>
    </row>
    <row r="43" spans="1:11" s="24" customFormat="1" ht="45" hidden="1" customHeight="1">
      <c r="A43" s="1455"/>
      <c r="B43" s="77"/>
      <c r="D43" s="403" t="s">
        <v>326</v>
      </c>
      <c r="E43" s="405" t="s">
        <v>1897</v>
      </c>
      <c r="F43" s="644" t="s">
        <v>1619</v>
      </c>
      <c r="G43" s="457"/>
      <c r="H43" s="641"/>
      <c r="I43" s="457"/>
      <c r="J43" s="641"/>
      <c r="K43" s="181" t="s">
        <v>1898</v>
      </c>
    </row>
    <row r="44" spans="1:11" s="24" customFormat="1" ht="11.25" hidden="1" customHeight="1">
      <c r="A44" s="1455"/>
      <c r="B44" s="77"/>
      <c r="D44" s="403" t="s">
        <v>91</v>
      </c>
      <c r="E44" s="404" t="s">
        <v>1899</v>
      </c>
      <c r="F44" s="400" t="s">
        <v>1889</v>
      </c>
      <c r="G44" s="406"/>
      <c r="H44" s="641"/>
      <c r="I44" s="406"/>
      <c r="J44" s="641"/>
      <c r="K44" s="76"/>
    </row>
    <row r="45" spans="1:11" s="24" customFormat="1" ht="11.25" hidden="1" customHeight="1">
      <c r="A45" s="1455"/>
      <c r="B45" s="77"/>
      <c r="D45" s="403" t="s">
        <v>613</v>
      </c>
      <c r="E45" s="405" t="s">
        <v>1900</v>
      </c>
      <c r="F45" s="400" t="s">
        <v>1889</v>
      </c>
      <c r="G45" s="406"/>
      <c r="H45" s="641"/>
      <c r="I45" s="406"/>
      <c r="J45" s="641"/>
      <c r="K45" s="76"/>
    </row>
    <row r="46" spans="1:11" s="24" customFormat="1" ht="11.25" hidden="1" customHeight="1">
      <c r="A46" s="1455"/>
      <c r="B46" s="77"/>
      <c r="D46" s="403" t="s">
        <v>632</v>
      </c>
      <c r="E46" s="405" t="s">
        <v>1901</v>
      </c>
      <c r="F46" s="400" t="s">
        <v>1889</v>
      </c>
      <c r="G46" s="406"/>
      <c r="H46" s="641"/>
      <c r="I46" s="406"/>
      <c r="J46" s="641"/>
      <c r="K46" s="76"/>
    </row>
    <row r="47" spans="1:11" s="24" customFormat="1" ht="11.25" hidden="1" customHeight="1">
      <c r="A47" s="1455"/>
      <c r="B47" s="77"/>
      <c r="D47" s="403" t="s">
        <v>1615</v>
      </c>
      <c r="E47" s="405" t="s">
        <v>1902</v>
      </c>
      <c r="F47" s="400" t="s">
        <v>1889</v>
      </c>
      <c r="G47" s="406"/>
      <c r="H47" s="641"/>
      <c r="I47" s="406"/>
      <c r="J47" s="641"/>
      <c r="K47" s="76"/>
    </row>
    <row r="48" spans="1:11" s="24" customFormat="1" ht="11.25" hidden="1" customHeight="1">
      <c r="A48" s="1455"/>
      <c r="B48" s="77"/>
      <c r="D48" s="403" t="s">
        <v>1903</v>
      </c>
      <c r="E48" s="408" t="s">
        <v>1904</v>
      </c>
      <c r="F48" s="400" t="s">
        <v>1889</v>
      </c>
      <c r="G48" s="406"/>
      <c r="H48" s="641"/>
      <c r="I48" s="406"/>
      <c r="J48" s="641"/>
      <c r="K48" s="76"/>
    </row>
    <row r="49" spans="1:11" s="24" customFormat="1" ht="11.25" hidden="1" customHeight="1">
      <c r="A49" s="1455"/>
      <c r="B49" s="77"/>
      <c r="D49" s="403" t="s">
        <v>1905</v>
      </c>
      <c r="E49" s="408" t="s">
        <v>1906</v>
      </c>
      <c r="F49" s="400" t="s">
        <v>1889</v>
      </c>
      <c r="G49" s="406"/>
      <c r="H49" s="641"/>
      <c r="I49" s="406"/>
      <c r="J49" s="641"/>
      <c r="K49" s="76"/>
    </row>
    <row r="50" spans="1:11" s="24" customFormat="1" ht="11.25" hidden="1" customHeight="1">
      <c r="A50" s="1455"/>
      <c r="B50" s="77"/>
      <c r="D50" s="403" t="s">
        <v>1907</v>
      </c>
      <c r="E50" s="405" t="s">
        <v>1908</v>
      </c>
      <c r="F50" s="400" t="s">
        <v>1889</v>
      </c>
      <c r="G50" s="406"/>
      <c r="H50" s="641"/>
      <c r="I50" s="406"/>
      <c r="J50" s="641"/>
      <c r="K50" s="76"/>
    </row>
    <row r="51" spans="1:11" s="24" customFormat="1" ht="11.25" hidden="1" customHeight="1">
      <c r="A51" s="1455"/>
      <c r="B51" s="77"/>
      <c r="D51" s="403" t="s">
        <v>1909</v>
      </c>
      <c r="E51" s="405" t="s">
        <v>1910</v>
      </c>
      <c r="F51" s="400" t="s">
        <v>1889</v>
      </c>
      <c r="G51" s="406"/>
      <c r="H51" s="641"/>
      <c r="I51" s="406"/>
      <c r="J51" s="641"/>
      <c r="K51" s="76"/>
    </row>
    <row r="52" spans="1:11" s="24" customFormat="1" ht="45" hidden="1" customHeight="1">
      <c r="A52" s="1455"/>
      <c r="B52" s="77"/>
      <c r="D52" s="403" t="s">
        <v>111</v>
      </c>
      <c r="E52" s="404" t="s">
        <v>1911</v>
      </c>
      <c r="F52" s="400" t="s">
        <v>1889</v>
      </c>
      <c r="G52" s="406"/>
      <c r="H52" s="641"/>
      <c r="I52" s="406"/>
      <c r="J52" s="641"/>
      <c r="K52" s="76"/>
    </row>
    <row r="53" spans="1:11" s="24" customFormat="1" ht="11.25" hidden="1" customHeight="1">
      <c r="A53" s="1455"/>
      <c r="B53" s="77"/>
      <c r="D53" s="403" t="s">
        <v>307</v>
      </c>
      <c r="E53" s="405" t="s">
        <v>1900</v>
      </c>
      <c r="F53" s="400" t="s">
        <v>1889</v>
      </c>
      <c r="G53" s="406"/>
      <c r="H53" s="641"/>
      <c r="I53" s="406"/>
      <c r="J53" s="641"/>
      <c r="K53" s="76"/>
    </row>
    <row r="54" spans="1:11" s="24" customFormat="1" ht="11.25" hidden="1" customHeight="1">
      <c r="A54" s="1455"/>
      <c r="B54" s="77"/>
      <c r="D54" s="403" t="s">
        <v>309</v>
      </c>
      <c r="E54" s="405" t="s">
        <v>1901</v>
      </c>
      <c r="F54" s="400" t="s">
        <v>1889</v>
      </c>
      <c r="G54" s="406"/>
      <c r="H54" s="641"/>
      <c r="I54" s="406"/>
      <c r="J54" s="641"/>
      <c r="K54" s="76"/>
    </row>
    <row r="55" spans="1:11" s="24" customFormat="1" ht="11.25" hidden="1" customHeight="1">
      <c r="A55" s="1455"/>
      <c r="B55" s="77"/>
      <c r="D55" s="403" t="s">
        <v>312</v>
      </c>
      <c r="E55" s="405" t="s">
        <v>1902</v>
      </c>
      <c r="F55" s="400" t="s">
        <v>1889</v>
      </c>
      <c r="G55" s="406"/>
      <c r="H55" s="641"/>
      <c r="I55" s="406"/>
      <c r="J55" s="641"/>
      <c r="K55" s="76"/>
    </row>
    <row r="56" spans="1:11" s="24" customFormat="1" ht="11.25" hidden="1" customHeight="1">
      <c r="A56" s="1455"/>
      <c r="B56" s="77"/>
      <c r="D56" s="403" t="s">
        <v>1595</v>
      </c>
      <c r="E56" s="408" t="s">
        <v>1904</v>
      </c>
      <c r="F56" s="400" t="s">
        <v>1889</v>
      </c>
      <c r="G56" s="406"/>
      <c r="H56" s="641"/>
      <c r="I56" s="406"/>
      <c r="J56" s="641"/>
      <c r="K56" s="76"/>
    </row>
    <row r="57" spans="1:11" s="24" customFormat="1" ht="11.25" hidden="1" customHeight="1">
      <c r="A57" s="1455"/>
      <c r="B57" s="77"/>
      <c r="D57" s="403" t="s">
        <v>1912</v>
      </c>
      <c r="E57" s="408" t="s">
        <v>1906</v>
      </c>
      <c r="F57" s="400" t="s">
        <v>1889</v>
      </c>
      <c r="G57" s="406"/>
      <c r="H57" s="641"/>
      <c r="I57" s="406"/>
      <c r="J57" s="641"/>
      <c r="K57" s="76"/>
    </row>
    <row r="58" spans="1:11" s="24" customFormat="1" ht="11.25" hidden="1" customHeight="1">
      <c r="A58" s="1455"/>
      <c r="B58" s="77"/>
      <c r="D58" s="403" t="s">
        <v>314</v>
      </c>
      <c r="E58" s="405" t="s">
        <v>1908</v>
      </c>
      <c r="F58" s="400" t="s">
        <v>1889</v>
      </c>
      <c r="G58" s="406"/>
      <c r="H58" s="641"/>
      <c r="I58" s="406"/>
      <c r="J58" s="641"/>
      <c r="K58" s="76"/>
    </row>
    <row r="59" spans="1:11" s="24" customFormat="1" ht="11.25" hidden="1" customHeight="1">
      <c r="A59" s="1455"/>
      <c r="B59" s="77"/>
      <c r="D59" s="403" t="s">
        <v>1913</v>
      </c>
      <c r="E59" s="405" t="s">
        <v>1910</v>
      </c>
      <c r="F59" s="400" t="s">
        <v>1889</v>
      </c>
      <c r="G59" s="406"/>
      <c r="H59" s="641"/>
      <c r="I59" s="406"/>
      <c r="J59" s="641"/>
      <c r="K59" s="76"/>
    </row>
    <row r="60" spans="1:11" s="24" customFormat="1" ht="33.75" hidden="1" customHeight="1">
      <c r="A60" s="1455"/>
      <c r="B60" s="77"/>
      <c r="D60" s="403" t="s">
        <v>92</v>
      </c>
      <c r="E60" s="404" t="s">
        <v>1914</v>
      </c>
      <c r="F60" s="444" t="s">
        <v>1619</v>
      </c>
      <c r="G60" s="457"/>
      <c r="H60" s="641"/>
      <c r="I60" s="457"/>
      <c r="J60" s="641"/>
      <c r="K60" s="181" t="s">
        <v>1915</v>
      </c>
    </row>
    <row r="61" spans="1:11" s="24" customFormat="1" ht="33.75" hidden="1" customHeight="1">
      <c r="A61" s="1455"/>
      <c r="B61" s="77"/>
      <c r="D61" s="403" t="s">
        <v>93</v>
      </c>
      <c r="E61" s="404" t="s">
        <v>1916</v>
      </c>
      <c r="F61" s="449" t="s">
        <v>1614</v>
      </c>
      <c r="G61" s="406"/>
      <c r="H61" s="641"/>
      <c r="I61" s="406"/>
      <c r="J61" s="641"/>
      <c r="K61" s="76"/>
    </row>
    <row r="62" spans="1:11" s="24" customFormat="1" ht="22.5" hidden="1" customHeight="1">
      <c r="A62" s="1455"/>
      <c r="B62" s="77" t="s">
        <v>1750</v>
      </c>
      <c r="D62" s="403" t="s">
        <v>112</v>
      </c>
      <c r="E62" s="404" t="s">
        <v>1917</v>
      </c>
      <c r="F62" s="449" t="s">
        <v>298</v>
      </c>
      <c r="G62" s="122"/>
      <c r="H62" s="641"/>
      <c r="I62" s="122"/>
      <c r="J62" s="641"/>
      <c r="K62" s="76" t="s">
        <v>713</v>
      </c>
    </row>
    <row r="63" spans="1:11" s="24" customFormat="1" ht="45" hidden="1" customHeight="1">
      <c r="A63" s="1455"/>
      <c r="B63" s="77" t="s">
        <v>1750</v>
      </c>
      <c r="D63" s="403" t="s">
        <v>1918</v>
      </c>
      <c r="E63" s="405" t="s">
        <v>1919</v>
      </c>
      <c r="F63" s="444" t="s">
        <v>298</v>
      </c>
      <c r="G63" s="122"/>
      <c r="H63" s="641"/>
      <c r="I63" s="122"/>
      <c r="J63" s="641"/>
      <c r="K63" s="76" t="s">
        <v>713</v>
      </c>
    </row>
    <row r="64" spans="1:11" s="24" customFormat="1" ht="11.25" customHeight="1">
      <c r="A64" s="328"/>
      <c r="B64" s="77"/>
      <c r="D64" s="7"/>
      <c r="E64" s="209"/>
    </row>
    <row r="65" spans="1:11" s="24" customFormat="1" ht="22.5" hidden="1" customHeight="1">
      <c r="A65" s="1455" t="s">
        <v>395</v>
      </c>
      <c r="B65" s="77"/>
      <c r="D65" s="403">
        <v>1</v>
      </c>
      <c r="E65" s="459" t="s">
        <v>1920</v>
      </c>
      <c r="F65" s="455" t="s">
        <v>1602</v>
      </c>
      <c r="G65" s="456"/>
      <c r="H65" s="645"/>
      <c r="I65" s="456"/>
      <c r="J65" s="645"/>
      <c r="K65" s="180" t="s">
        <v>1921</v>
      </c>
    </row>
    <row r="66" spans="1:11" s="24" customFormat="1" ht="56.25" hidden="1" customHeight="1">
      <c r="A66" s="1455"/>
      <c r="B66" s="77"/>
      <c r="D66" s="458" t="s">
        <v>110</v>
      </c>
      <c r="E66" s="157" t="s">
        <v>1922</v>
      </c>
      <c r="F66" s="400" t="s">
        <v>1433</v>
      </c>
      <c r="G66" s="400" t="s">
        <v>1433</v>
      </c>
      <c r="H66" s="320"/>
      <c r="I66" s="400" t="s">
        <v>1433</v>
      </c>
      <c r="J66" s="320"/>
      <c r="K66" s="76"/>
    </row>
    <row r="67" spans="1:11" s="24" customFormat="1" ht="33.75" hidden="1" customHeight="1">
      <c r="A67" s="1455"/>
      <c r="B67" s="77"/>
      <c r="D67" s="458" t="s">
        <v>505</v>
      </c>
      <c r="E67" s="348" t="s">
        <v>1923</v>
      </c>
      <c r="F67" s="400" t="s">
        <v>1892</v>
      </c>
      <c r="G67" s="450"/>
      <c r="H67" s="320"/>
      <c r="I67" s="450"/>
      <c r="J67" s="320"/>
      <c r="K67" s="76"/>
    </row>
    <row r="68" spans="1:11" s="24" customFormat="1" ht="22.5" hidden="1" customHeight="1">
      <c r="A68" s="1455"/>
      <c r="B68" s="77"/>
      <c r="D68" s="458" t="s">
        <v>299</v>
      </c>
      <c r="E68" s="348" t="s">
        <v>1924</v>
      </c>
      <c r="F68" s="400" t="s">
        <v>1892</v>
      </c>
      <c r="G68" s="450"/>
      <c r="H68" s="320"/>
      <c r="I68" s="450"/>
      <c r="J68" s="320"/>
      <c r="K68" s="76"/>
    </row>
    <row r="69" spans="1:11" s="24" customFormat="1" ht="22.5" hidden="1" customHeight="1">
      <c r="A69" s="1455"/>
      <c r="B69" s="77"/>
      <c r="D69" s="458" t="s">
        <v>302</v>
      </c>
      <c r="E69" s="348" t="s">
        <v>1925</v>
      </c>
      <c r="F69" s="444" t="s">
        <v>1619</v>
      </c>
      <c r="G69" s="457"/>
      <c r="H69" s="320"/>
      <c r="I69" s="457"/>
      <c r="J69" s="320"/>
      <c r="K69" s="76"/>
    </row>
    <row r="70" spans="1:11" s="24" customFormat="1" ht="22.5" hidden="1" customHeight="1">
      <c r="A70" s="1455"/>
      <c r="B70" s="77"/>
      <c r="D70" s="458" t="s">
        <v>514</v>
      </c>
      <c r="E70" s="348" t="s">
        <v>1926</v>
      </c>
      <c r="F70" s="444" t="s">
        <v>1619</v>
      </c>
      <c r="G70" s="457"/>
      <c r="H70" s="320"/>
      <c r="I70" s="457"/>
      <c r="J70" s="320"/>
      <c r="K70" s="76"/>
    </row>
    <row r="71" spans="1:11" s="24" customFormat="1" ht="22.5" hidden="1" customHeight="1">
      <c r="A71" s="1455"/>
      <c r="B71" s="77"/>
      <c r="D71" s="403" t="s">
        <v>90</v>
      </c>
      <c r="E71" s="404" t="s">
        <v>1927</v>
      </c>
      <c r="F71" s="400" t="s">
        <v>1892</v>
      </c>
      <c r="G71" s="346"/>
      <c r="H71" s="646"/>
      <c r="I71" s="346"/>
      <c r="J71" s="646"/>
      <c r="K71" s="181"/>
    </row>
    <row r="72" spans="1:11" s="24" customFormat="1" ht="56.25" hidden="1" customHeight="1">
      <c r="A72" s="1455"/>
      <c r="B72" s="77"/>
      <c r="D72" s="403" t="s">
        <v>91</v>
      </c>
      <c r="E72" s="404" t="s">
        <v>1928</v>
      </c>
      <c r="F72" s="444" t="s">
        <v>1619</v>
      </c>
      <c r="G72" s="457"/>
      <c r="H72" s="641"/>
      <c r="I72" s="457"/>
      <c r="J72" s="641"/>
      <c r="K72" s="181"/>
    </row>
    <row r="73" spans="1:11" s="24" customFormat="1" ht="33.75" hidden="1" customHeight="1">
      <c r="A73" s="1455"/>
      <c r="B73" s="77"/>
      <c r="D73" s="403" t="s">
        <v>111</v>
      </c>
      <c r="E73" s="404" t="s">
        <v>1929</v>
      </c>
      <c r="F73" s="449" t="s">
        <v>1614</v>
      </c>
      <c r="G73" s="406"/>
      <c r="H73" s="641"/>
      <c r="I73" s="406"/>
      <c r="J73" s="641"/>
      <c r="K73" s="76"/>
    </row>
    <row r="74" spans="1:11" s="24" customFormat="1" ht="22.5" hidden="1" customHeight="1">
      <c r="A74" s="1455"/>
      <c r="B74" s="77" t="s">
        <v>1750</v>
      </c>
      <c r="D74" s="403" t="s">
        <v>92</v>
      </c>
      <c r="E74" s="404" t="s">
        <v>1930</v>
      </c>
      <c r="F74" s="449" t="s">
        <v>298</v>
      </c>
      <c r="G74" s="122"/>
      <c r="H74" s="641"/>
      <c r="I74" s="122"/>
      <c r="J74" s="641"/>
      <c r="K74" s="76" t="s">
        <v>713</v>
      </c>
    </row>
    <row r="75" spans="1:11" s="24" customFormat="1" ht="45" hidden="1" customHeight="1">
      <c r="A75" s="1455"/>
      <c r="B75" s="77" t="s">
        <v>1750</v>
      </c>
      <c r="D75" s="403" t="s">
        <v>518</v>
      </c>
      <c r="E75" s="405" t="s">
        <v>1931</v>
      </c>
      <c r="F75" s="444" t="s">
        <v>298</v>
      </c>
      <c r="G75" s="122"/>
      <c r="H75" s="641"/>
      <c r="I75" s="122"/>
      <c r="J75" s="641"/>
      <c r="K75" s="76" t="s">
        <v>713</v>
      </c>
    </row>
    <row r="76" spans="1:11" s="24" customFormat="1" ht="11.25" customHeight="1">
      <c r="A76" s="328"/>
      <c r="B76" s="77"/>
      <c r="D76" s="7"/>
      <c r="E76" s="209"/>
    </row>
    <row r="77" spans="1:11" s="24" customFormat="1" ht="11.25" hidden="1" customHeight="1">
      <c r="A77" s="1455" t="s">
        <v>394</v>
      </c>
      <c r="B77" s="77"/>
      <c r="D77" s="403">
        <v>1</v>
      </c>
      <c r="E77" s="404" t="s">
        <v>1932</v>
      </c>
      <c r="F77" s="444" t="s">
        <v>1602</v>
      </c>
      <c r="G77" s="447"/>
      <c r="H77" s="641"/>
      <c r="I77" s="447"/>
      <c r="J77" s="641"/>
      <c r="K77" s="76" t="s">
        <v>1933</v>
      </c>
    </row>
    <row r="78" spans="1:11" s="24" customFormat="1" ht="11.25" hidden="1" customHeight="1">
      <c r="A78" s="1455"/>
      <c r="B78" s="77"/>
      <c r="D78" s="403" t="s">
        <v>110</v>
      </c>
      <c r="E78" s="404" t="s">
        <v>1934</v>
      </c>
      <c r="F78" s="444" t="s">
        <v>1602</v>
      </c>
      <c r="G78" s="447"/>
      <c r="H78" s="641"/>
      <c r="I78" s="447"/>
      <c r="J78" s="641"/>
      <c r="K78" s="76" t="s">
        <v>1935</v>
      </c>
    </row>
    <row r="79" spans="1:11" s="24" customFormat="1" ht="22.5" hidden="1" customHeight="1">
      <c r="A79" s="1455"/>
      <c r="B79" s="77"/>
      <c r="D79" s="403" t="s">
        <v>90</v>
      </c>
      <c r="E79" s="445" t="s">
        <v>1936</v>
      </c>
      <c r="F79" s="400" t="s">
        <v>1889</v>
      </c>
      <c r="G79" s="447"/>
      <c r="H79" s="641"/>
      <c r="I79" s="447"/>
      <c r="J79" s="641"/>
      <c r="K79" s="76" t="s">
        <v>1937</v>
      </c>
    </row>
    <row r="80" spans="1:11" s="24" customFormat="1" ht="11.25" hidden="1" customHeight="1">
      <c r="A80" s="1455"/>
      <c r="B80" s="77"/>
      <c r="D80" s="403" t="s">
        <v>318</v>
      </c>
      <c r="E80" s="446" t="s">
        <v>1938</v>
      </c>
      <c r="F80" s="400" t="s">
        <v>1889</v>
      </c>
      <c r="G80" s="447"/>
      <c r="H80" s="641"/>
      <c r="I80" s="447"/>
      <c r="J80" s="641"/>
      <c r="K80" s="76"/>
    </row>
    <row r="81" spans="1:11" s="24" customFormat="1" ht="11.25" hidden="1" customHeight="1">
      <c r="A81" s="1455"/>
      <c r="B81" s="77"/>
      <c r="D81" s="403" t="s">
        <v>326</v>
      </c>
      <c r="E81" s="446" t="s">
        <v>1939</v>
      </c>
      <c r="F81" s="400" t="s">
        <v>1889</v>
      </c>
      <c r="G81" s="447"/>
      <c r="H81" s="641"/>
      <c r="I81" s="447"/>
      <c r="J81" s="641"/>
      <c r="K81" s="76"/>
    </row>
    <row r="82" spans="1:11" s="24" customFormat="1" ht="11.25" hidden="1" customHeight="1">
      <c r="A82" s="1455"/>
      <c r="B82" s="77"/>
      <c r="D82" s="403" t="s">
        <v>328</v>
      </c>
      <c r="E82" s="446" t="s">
        <v>1940</v>
      </c>
      <c r="F82" s="400" t="s">
        <v>1889</v>
      </c>
      <c r="G82" s="447"/>
      <c r="H82" s="641"/>
      <c r="I82" s="447"/>
      <c r="J82" s="641"/>
      <c r="K82" s="76"/>
    </row>
    <row r="83" spans="1:11" s="24" customFormat="1" ht="11.25" hidden="1" customHeight="1">
      <c r="A83" s="1455"/>
      <c r="B83" s="77"/>
      <c r="D83" s="403" t="s">
        <v>330</v>
      </c>
      <c r="E83" s="446" t="s">
        <v>1941</v>
      </c>
      <c r="F83" s="400" t="s">
        <v>1889</v>
      </c>
      <c r="G83" s="447"/>
      <c r="H83" s="641"/>
      <c r="I83" s="447"/>
      <c r="J83" s="641"/>
      <c r="K83" s="76"/>
    </row>
    <row r="84" spans="1:11" s="24" customFormat="1" ht="11.25" hidden="1" customHeight="1">
      <c r="A84" s="1455"/>
      <c r="B84" s="77"/>
      <c r="D84" s="403" t="s">
        <v>1942</v>
      </c>
      <c r="E84" s="446" t="s">
        <v>1943</v>
      </c>
      <c r="F84" s="400" t="s">
        <v>1889</v>
      </c>
      <c r="G84" s="447"/>
      <c r="H84" s="641"/>
      <c r="I84" s="447"/>
      <c r="J84" s="641"/>
      <c r="K84" s="76"/>
    </row>
    <row r="85" spans="1:11" s="24" customFormat="1" ht="11.25" hidden="1" customHeight="1">
      <c r="A85" s="1455"/>
      <c r="B85" s="77"/>
      <c r="D85" s="403" t="s">
        <v>1944</v>
      </c>
      <c r="E85" s="446" t="s">
        <v>1945</v>
      </c>
      <c r="F85" s="400" t="s">
        <v>1889</v>
      </c>
      <c r="G85" s="447"/>
      <c r="H85" s="641"/>
      <c r="I85" s="447"/>
      <c r="J85" s="641"/>
      <c r="K85" s="76"/>
    </row>
    <row r="86" spans="1:11" s="24" customFormat="1" ht="11.25" hidden="1" customHeight="1">
      <c r="A86" s="1455"/>
      <c r="B86" s="77"/>
      <c r="D86" s="403" t="s">
        <v>1946</v>
      </c>
      <c r="E86" s="446" t="s">
        <v>1947</v>
      </c>
      <c r="F86" s="400" t="s">
        <v>1889</v>
      </c>
      <c r="G86" s="447"/>
      <c r="H86" s="641"/>
      <c r="I86" s="447"/>
      <c r="J86" s="641"/>
      <c r="K86" s="76"/>
    </row>
    <row r="87" spans="1:11" s="24" customFormat="1" ht="45" hidden="1" customHeight="1">
      <c r="A87" s="1455"/>
      <c r="B87" s="77"/>
      <c r="D87" s="403" t="s">
        <v>91</v>
      </c>
      <c r="E87" s="404" t="s">
        <v>1948</v>
      </c>
      <c r="F87" s="400" t="s">
        <v>1889</v>
      </c>
      <c r="G87" s="447"/>
      <c r="H87" s="641"/>
      <c r="I87" s="447"/>
      <c r="J87" s="641"/>
      <c r="K87" s="76" t="s">
        <v>1949</v>
      </c>
    </row>
    <row r="88" spans="1:11" s="24" customFormat="1" ht="11.25" hidden="1" customHeight="1">
      <c r="A88" s="1455"/>
      <c r="B88" s="77"/>
      <c r="D88" s="403" t="s">
        <v>613</v>
      </c>
      <c r="E88" s="446" t="s">
        <v>1938</v>
      </c>
      <c r="F88" s="400" t="s">
        <v>1889</v>
      </c>
      <c r="G88" s="447"/>
      <c r="H88" s="641"/>
      <c r="I88" s="447"/>
      <c r="J88" s="641"/>
      <c r="K88" s="76"/>
    </row>
    <row r="89" spans="1:11" s="24" customFormat="1" ht="11.25" hidden="1" customHeight="1">
      <c r="A89" s="1455"/>
      <c r="B89" s="77"/>
      <c r="D89" s="403" t="s">
        <v>632</v>
      </c>
      <c r="E89" s="446" t="s">
        <v>1939</v>
      </c>
      <c r="F89" s="400" t="s">
        <v>1889</v>
      </c>
      <c r="G89" s="447"/>
      <c r="H89" s="641"/>
      <c r="I89" s="447"/>
      <c r="J89" s="641"/>
      <c r="K89" s="76"/>
    </row>
    <row r="90" spans="1:11" s="24" customFormat="1" ht="11.25" hidden="1" customHeight="1">
      <c r="A90" s="1455"/>
      <c r="B90" s="77"/>
      <c r="D90" s="403" t="s">
        <v>1615</v>
      </c>
      <c r="E90" s="446" t="s">
        <v>1940</v>
      </c>
      <c r="F90" s="400" t="s">
        <v>1889</v>
      </c>
      <c r="G90" s="447"/>
      <c r="H90" s="641"/>
      <c r="I90" s="447"/>
      <c r="J90" s="641"/>
      <c r="K90" s="76"/>
    </row>
    <row r="91" spans="1:11" s="24" customFormat="1" ht="11.25" hidden="1" customHeight="1">
      <c r="A91" s="1455"/>
      <c r="B91" s="77"/>
      <c r="D91" s="403" t="s">
        <v>1907</v>
      </c>
      <c r="E91" s="446" t="s">
        <v>1941</v>
      </c>
      <c r="F91" s="400" t="s">
        <v>1889</v>
      </c>
      <c r="G91" s="447"/>
      <c r="H91" s="641"/>
      <c r="I91" s="447"/>
      <c r="J91" s="641"/>
      <c r="K91" s="76"/>
    </row>
    <row r="92" spans="1:11" s="24" customFormat="1" ht="11.25" hidden="1" customHeight="1">
      <c r="A92" s="1455"/>
      <c r="B92" s="77"/>
      <c r="D92" s="403" t="s">
        <v>1909</v>
      </c>
      <c r="E92" s="446" t="s">
        <v>1943</v>
      </c>
      <c r="F92" s="400" t="s">
        <v>1889</v>
      </c>
      <c r="G92" s="447"/>
      <c r="H92" s="641"/>
      <c r="I92" s="447"/>
      <c r="J92" s="641"/>
      <c r="K92" s="76"/>
    </row>
    <row r="93" spans="1:11" s="24" customFormat="1" ht="11.25" hidden="1" customHeight="1">
      <c r="A93" s="1455"/>
      <c r="B93" s="77"/>
      <c r="D93" s="403" t="s">
        <v>1950</v>
      </c>
      <c r="E93" s="446" t="s">
        <v>1945</v>
      </c>
      <c r="F93" s="400" t="s">
        <v>1889</v>
      </c>
      <c r="G93" s="447"/>
      <c r="H93" s="641"/>
      <c r="I93" s="447"/>
      <c r="J93" s="641"/>
      <c r="K93" s="76"/>
    </row>
    <row r="94" spans="1:11" s="24" customFormat="1" ht="11.25" hidden="1" customHeight="1">
      <c r="A94" s="1455"/>
      <c r="B94" s="77"/>
      <c r="D94" s="403" t="s">
        <v>1951</v>
      </c>
      <c r="E94" s="446" t="s">
        <v>1947</v>
      </c>
      <c r="F94" s="400" t="s">
        <v>1889</v>
      </c>
      <c r="G94" s="447"/>
      <c r="H94" s="641"/>
      <c r="I94" s="447"/>
      <c r="J94" s="641"/>
      <c r="K94" s="76"/>
    </row>
    <row r="95" spans="1:11" s="24" customFormat="1" ht="24.75" hidden="1" customHeight="1">
      <c r="A95" s="1455"/>
      <c r="B95" s="77"/>
      <c r="D95" s="403" t="s">
        <v>111</v>
      </c>
      <c r="E95" s="404" t="s">
        <v>1952</v>
      </c>
      <c r="F95" s="448" t="s">
        <v>1619</v>
      </c>
      <c r="G95" s="450"/>
      <c r="H95" s="641"/>
      <c r="I95" s="450"/>
      <c r="J95" s="641"/>
      <c r="K95" s="76" t="s">
        <v>1953</v>
      </c>
    </row>
    <row r="96" spans="1:11" s="24" customFormat="1" ht="33.75" hidden="1" customHeight="1">
      <c r="A96" s="1455"/>
      <c r="B96" s="77"/>
      <c r="D96" s="403" t="s">
        <v>92</v>
      </c>
      <c r="E96" s="404" t="s">
        <v>1954</v>
      </c>
      <c r="F96" s="449" t="s">
        <v>1614</v>
      </c>
      <c r="G96" s="451"/>
      <c r="H96" s="641"/>
      <c r="I96" s="451"/>
      <c r="J96" s="641"/>
      <c r="K96" s="76"/>
    </row>
    <row r="97" spans="1:11" s="24" customFormat="1" ht="22.5" hidden="1" customHeight="1">
      <c r="A97" s="1455"/>
      <c r="B97" s="77" t="s">
        <v>1750</v>
      </c>
      <c r="D97" s="403" t="s">
        <v>93</v>
      </c>
      <c r="E97" s="404" t="s">
        <v>1955</v>
      </c>
      <c r="F97" s="449" t="s">
        <v>298</v>
      </c>
      <c r="G97" s="238"/>
      <c r="H97" s="641"/>
      <c r="I97" s="238"/>
      <c r="J97" s="641"/>
      <c r="K97" s="76" t="s">
        <v>713</v>
      </c>
    </row>
    <row r="98" spans="1:11" s="24" customFormat="1" ht="45" hidden="1" customHeight="1">
      <c r="A98" s="1455"/>
      <c r="B98" s="77" t="s">
        <v>1750</v>
      </c>
      <c r="D98" s="403" t="s">
        <v>1678</v>
      </c>
      <c r="E98" s="405" t="s">
        <v>1956</v>
      </c>
      <c r="F98" s="444" t="s">
        <v>298</v>
      </c>
      <c r="G98" s="238"/>
      <c r="H98" s="641"/>
      <c r="I98" s="238"/>
      <c r="J98" s="641"/>
      <c r="K98" s="76" t="s">
        <v>713</v>
      </c>
    </row>
    <row r="99" spans="1:11" s="24" customFormat="1" ht="95.25" hidden="1" customHeight="1">
      <c r="A99" s="1455"/>
      <c r="B99" s="77" t="s">
        <v>1750</v>
      </c>
      <c r="D99" s="403" t="s">
        <v>112</v>
      </c>
      <c r="E99" s="404" t="s">
        <v>1957</v>
      </c>
      <c r="F99" s="444" t="s">
        <v>298</v>
      </c>
      <c r="G99" s="238"/>
      <c r="H99" s="641"/>
      <c r="I99" s="238"/>
      <c r="J99" s="641"/>
      <c r="K99" s="76" t="s">
        <v>713</v>
      </c>
    </row>
    <row r="100" spans="1:11" s="24" customFormat="1" ht="22.5" hidden="1" customHeight="1">
      <c r="A100" s="1455"/>
      <c r="B100" s="77" t="s">
        <v>1750</v>
      </c>
      <c r="D100" s="403" t="s">
        <v>149</v>
      </c>
      <c r="E100" s="404" t="s">
        <v>1958</v>
      </c>
      <c r="F100" s="444" t="s">
        <v>298</v>
      </c>
      <c r="G100" s="238"/>
      <c r="H100" s="641"/>
      <c r="I100" s="238"/>
      <c r="J100" s="641"/>
      <c r="K100" s="76" t="s">
        <v>713</v>
      </c>
    </row>
    <row r="101" spans="1:11" s="24" customFormat="1" ht="11.25" customHeight="1">
      <c r="A101" s="328"/>
      <c r="B101" s="77"/>
      <c r="D101" s="7"/>
      <c r="E101" s="209"/>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B00-000000000000}">
      <formula1>900</formula1>
    </dataValidation>
    <dataValidation type="whole" allowBlank="1" showErrorMessage="1" errorTitle="Ошибка" error="Допускается ввод только неотрицательных целых чисел!" sqref="G16:G17 I16:I17" xr:uid="{00000000-0002-0000-2B00-000001000000}">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xr:uid="{00000000-0002-0000-2B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xr:uid="{00000000-0002-0000-2B00-000003000000}">
      <formula1>900</formula1>
    </dataValidation>
    <dataValidation type="decimal" allowBlank="1" showErrorMessage="1" errorTitle="Ошибка" error="Введите значение от 0 до 100%" sqref="G31 G95 G60 G72 G42:G43 G69:G70 I31 I95 I60 I72 I42:I43 I69:I70" xr:uid="{00000000-0002-0000-2B00-00000400000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B00-000005000000}">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901606-FC3C-B95E-B018-CBE4B652800F}">
  <sheetPr>
    <tabColor theme="9" tint="-0.249977111117893"/>
  </sheetPr>
  <dimension ref="A1:AD15"/>
  <sheetViews>
    <sheetView showGridLines="0" topLeftCell="E4" zoomScale="85" workbookViewId="0"/>
  </sheetViews>
  <sheetFormatPr defaultColWidth="9.140625" defaultRowHeight="10.5" customHeight="1"/>
  <cols>
    <col min="1" max="3" width="6.7109375" style="328" hidden="1" customWidth="1"/>
    <col min="4" max="4" width="6.7109375" style="72" hidden="1" customWidth="1"/>
    <col min="5" max="5" width="3.7109375" style="24" customWidth="1"/>
    <col min="6" max="6" width="6.28515625" style="24" customWidth="1"/>
    <col min="7" max="7" width="37.7109375" style="24" customWidth="1"/>
    <col min="8" max="8" width="16.5703125" style="24" customWidth="1"/>
    <col min="9" max="10" width="19.7109375" style="24" customWidth="1"/>
    <col min="11" max="11" width="25" style="24" customWidth="1"/>
    <col min="12" max="13" width="25.7109375" style="24" customWidth="1"/>
    <col min="14" max="16" width="17.7109375" style="24" customWidth="1"/>
    <col min="17" max="24" width="19.7109375" style="24" customWidth="1"/>
    <col min="25" max="25" width="8" style="24" customWidth="1"/>
    <col min="26" max="26" width="3.28515625" style="24" customWidth="1"/>
    <col min="27" max="27" width="6.28515625" style="24" customWidth="1"/>
    <col min="28" max="28" width="34.140625" style="24" customWidth="1"/>
    <col min="29" max="30" width="9.140625" style="24"/>
  </cols>
  <sheetData>
    <row r="1" spans="1:30" s="72" customFormat="1" ht="10.5" hidden="1" customHeight="1">
      <c r="A1" s="328"/>
      <c r="B1" s="328"/>
      <c r="C1" s="328"/>
    </row>
    <row r="2" spans="1:30" ht="10.5" hidden="1" customHeight="1"/>
    <row r="3" spans="1:30" s="54" customFormat="1" ht="10.5" hidden="1" customHeight="1">
      <c r="A3" s="328"/>
      <c r="B3" s="328"/>
      <c r="C3" s="328"/>
      <c r="D3" s="72"/>
    </row>
    <row r="4" spans="1:30" ht="3" customHeight="1"/>
    <row r="5" spans="1:30" ht="30" customHeight="1">
      <c r="F5" s="1415" t="s">
        <v>1959</v>
      </c>
      <c r="G5" s="1415"/>
      <c r="H5" s="1415"/>
      <c r="I5" s="1415"/>
      <c r="J5" s="1415"/>
      <c r="K5" s="1415"/>
      <c r="M5" s="369"/>
    </row>
    <row r="6" spans="1:30" s="24" customFormat="1" ht="15.75" customHeight="1">
      <c r="A6" s="328"/>
      <c r="B6" s="328"/>
      <c r="C6" s="328"/>
      <c r="D6" s="72"/>
      <c r="F6" s="1215" t="str">
        <f>IF(org=0,"Не определено",org)</f>
        <v>ООО "ТЕПЛО ПЛЮС"</v>
      </c>
      <c r="G6" s="1215"/>
      <c r="H6" s="1215"/>
      <c r="I6" s="1215"/>
      <c r="J6" s="1215"/>
      <c r="K6" s="1215"/>
      <c r="M6" s="369"/>
    </row>
    <row r="8" spans="1:30" ht="10.5" customHeight="1">
      <c r="F8" s="1105" t="s">
        <v>292</v>
      </c>
      <c r="G8" s="1110"/>
      <c r="H8" s="1110"/>
      <c r="I8" s="1110"/>
      <c r="J8" s="1110"/>
      <c r="K8" s="1110"/>
      <c r="L8" s="1110"/>
      <c r="M8" s="1110"/>
      <c r="N8" s="1110"/>
      <c r="O8" s="1110"/>
      <c r="P8" s="1110"/>
      <c r="Q8" s="1110"/>
      <c r="R8" s="1110"/>
      <c r="S8" s="1110"/>
      <c r="T8" s="1110"/>
      <c r="U8" s="1110"/>
      <c r="V8" s="1110"/>
      <c r="W8" s="1110"/>
      <c r="X8" s="1110"/>
      <c r="Y8" s="1110"/>
      <c r="Z8" s="1110"/>
      <c r="AA8" s="1110"/>
      <c r="AB8" s="1104"/>
    </row>
    <row r="9" spans="1:30" ht="41.25" customHeight="1">
      <c r="A9" s="565"/>
      <c r="B9" s="565"/>
      <c r="C9" s="565"/>
      <c r="F9" s="1123" t="s">
        <v>88</v>
      </c>
      <c r="G9" s="1123" t="s">
        <v>1960</v>
      </c>
      <c r="H9" s="1182" t="s">
        <v>1961</v>
      </c>
      <c r="I9" s="1123" t="s">
        <v>1962</v>
      </c>
      <c r="J9" s="1123" t="s">
        <v>1963</v>
      </c>
      <c r="K9" s="1123" t="s">
        <v>1964</v>
      </c>
      <c r="L9" s="1123" t="s">
        <v>1965</v>
      </c>
      <c r="M9" s="1123" t="s">
        <v>1966</v>
      </c>
      <c r="N9" s="1458" t="s">
        <v>1967</v>
      </c>
      <c r="O9" s="1458"/>
      <c r="P9" s="1458"/>
      <c r="Q9" s="1350" t="s">
        <v>1968</v>
      </c>
      <c r="R9" s="1351"/>
      <c r="S9" s="1351"/>
      <c r="T9" s="1352"/>
      <c r="U9" s="1350" t="s">
        <v>1969</v>
      </c>
      <c r="V9" s="1351"/>
      <c r="W9" s="1351"/>
      <c r="X9" s="1352"/>
      <c r="Y9" s="1105" t="s">
        <v>1970</v>
      </c>
      <c r="Z9" s="1110"/>
      <c r="AA9" s="1110"/>
      <c r="AB9" s="1104"/>
    </row>
    <row r="10" spans="1:30" ht="41.25" customHeight="1">
      <c r="A10" s="565"/>
      <c r="B10" s="565"/>
      <c r="C10" s="565"/>
      <c r="F10" s="1182"/>
      <c r="G10" s="1182"/>
      <c r="H10" s="1238"/>
      <c r="I10" s="1182"/>
      <c r="J10" s="1182"/>
      <c r="K10" s="1182"/>
      <c r="L10" s="1182"/>
      <c r="M10" s="1182"/>
      <c r="N10" s="563" t="s">
        <v>1971</v>
      </c>
      <c r="O10" s="563" t="s">
        <v>1972</v>
      </c>
      <c r="P10" s="564" t="s">
        <v>1973</v>
      </c>
      <c r="Q10" s="567" t="s">
        <v>89</v>
      </c>
      <c r="R10" s="567" t="s">
        <v>1974</v>
      </c>
      <c r="S10" s="567" t="s">
        <v>1975</v>
      </c>
      <c r="T10" s="568" t="s">
        <v>1976</v>
      </c>
      <c r="U10" s="567" t="s">
        <v>89</v>
      </c>
      <c r="V10" s="567" t="s">
        <v>1977</v>
      </c>
      <c r="W10" s="567" t="s">
        <v>1975</v>
      </c>
      <c r="X10" s="568" t="s">
        <v>1976</v>
      </c>
      <c r="Y10" s="180" t="s">
        <v>1978</v>
      </c>
      <c r="Z10" s="1105" t="s">
        <v>88</v>
      </c>
      <c r="AA10" s="1104"/>
      <c r="AB10" s="50" t="s">
        <v>1979</v>
      </c>
    </row>
    <row r="11" spans="1:30" s="77" customFormat="1" ht="5.25" hidden="1" customHeight="1">
      <c r="A11" s="338"/>
      <c r="B11" s="338"/>
      <c r="C11" s="338"/>
      <c r="E11" s="127"/>
      <c r="F11" s="1324" t="s">
        <v>370</v>
      </c>
      <c r="G11" s="1408"/>
      <c r="H11" s="1456"/>
      <c r="I11" s="1456"/>
      <c r="J11" s="1456"/>
      <c r="K11" s="1459"/>
      <c r="L11" s="1459"/>
      <c r="M11" s="1459"/>
      <c r="N11" s="1456"/>
      <c r="O11" s="1456"/>
      <c r="P11" s="1123"/>
      <c r="Q11" s="1192"/>
      <c r="R11" s="1192"/>
      <c r="S11" s="1192"/>
      <c r="T11" s="1456"/>
      <c r="U11" s="1192"/>
      <c r="V11" s="1192"/>
      <c r="W11" s="1192"/>
      <c r="X11" s="1456"/>
      <c r="Y11" s="1134"/>
      <c r="Z11" s="1134"/>
      <c r="AA11" s="1134"/>
      <c r="AB11" s="1134"/>
      <c r="AD11" s="77" t="s">
        <v>1980</v>
      </c>
    </row>
    <row r="12" spans="1:30" s="77" customFormat="1" ht="5.25" hidden="1" customHeight="1">
      <c r="A12" s="338"/>
      <c r="B12" s="338"/>
      <c r="C12" s="338"/>
      <c r="F12" s="1324"/>
      <c r="G12" s="1408"/>
      <c r="H12" s="1456"/>
      <c r="I12" s="1456"/>
      <c r="J12" s="1456"/>
      <c r="K12" s="1459"/>
      <c r="L12" s="1459"/>
      <c r="M12" s="1459"/>
      <c r="N12" s="1456"/>
      <c r="O12" s="1456"/>
      <c r="P12" s="1123"/>
      <c r="Q12" s="1192"/>
      <c r="R12" s="1192"/>
      <c r="S12" s="1192"/>
      <c r="T12" s="1456"/>
      <c r="U12" s="1192"/>
      <c r="V12" s="1192"/>
      <c r="W12" s="1192"/>
      <c r="X12" s="1456"/>
      <c r="Y12" s="1457"/>
      <c r="Z12" s="1457"/>
      <c r="AA12" s="1457"/>
      <c r="AB12" s="1457"/>
    </row>
    <row r="13" spans="1:30" ht="10.5" customHeight="1">
      <c r="F13" s="177"/>
      <c r="G13" s="116" t="s">
        <v>1981</v>
      </c>
      <c r="H13" s="116"/>
      <c r="I13" s="360"/>
      <c r="J13" s="360"/>
      <c r="K13" s="360"/>
      <c r="L13" s="360"/>
      <c r="M13" s="360"/>
      <c r="N13" s="360"/>
      <c r="O13" s="360"/>
      <c r="P13" s="360"/>
      <c r="Q13" s="360"/>
      <c r="R13" s="360"/>
      <c r="S13" s="360"/>
      <c r="T13" s="360"/>
      <c r="U13" s="360"/>
      <c r="V13" s="360"/>
      <c r="W13" s="360"/>
      <c r="X13" s="360"/>
      <c r="Y13" s="360"/>
      <c r="Z13" s="426"/>
      <c r="AA13" s="426"/>
      <c r="AB13" s="569"/>
    </row>
    <row r="15" spans="1:30" s="77" customFormat="1" ht="10.5" customHeight="1">
      <c r="A15" s="338"/>
      <c r="B15" s="338"/>
      <c r="C15" s="338"/>
      <c r="H15" s="77">
        <f>IFERROR(MATCH("нет",IP_MAIN_DIFFERENTIATION_EVENTS_FLAG,0),0)</f>
        <v>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935946-F85E-83F3-C50D-80E2812E5C3A}">
  <sheetPr>
    <tabColor theme="9" tint="-0.249977111117893"/>
  </sheetPr>
  <dimension ref="A1:BF19"/>
  <sheetViews>
    <sheetView showGridLines="0" topLeftCell="E4" zoomScale="90" workbookViewId="0"/>
  </sheetViews>
  <sheetFormatPr defaultColWidth="9.140625" defaultRowHeight="10.5" customHeight="1"/>
  <cols>
    <col min="1" max="3" width="4.140625" style="328" hidden="1" customWidth="1"/>
    <col min="4" max="4" width="4.140625" style="72" hidden="1" customWidth="1"/>
    <col min="5" max="5" width="3.7109375" style="24" customWidth="1"/>
    <col min="6" max="6" width="14.42578125" style="24" customWidth="1"/>
    <col min="7" max="7" width="3.7109375" style="24" customWidth="1"/>
    <col min="8" max="8" width="7.7109375" style="24" customWidth="1"/>
    <col min="9" max="10" width="16.7109375" style="24" customWidth="1"/>
    <col min="11" max="11" width="25.7109375" style="24" customWidth="1"/>
    <col min="12" max="12" width="8" style="24" customWidth="1"/>
    <col min="13" max="13" width="15.5703125" style="24" customWidth="1"/>
    <col min="14" max="14" width="3.28515625" style="24" customWidth="1"/>
    <col min="15" max="15" width="4.7109375" style="24" customWidth="1"/>
    <col min="16" max="16" width="9" style="24" customWidth="1"/>
    <col min="17" max="17" width="21.7109375" style="24" customWidth="1"/>
    <col min="18" max="18" width="14.7109375" style="24" customWidth="1"/>
    <col min="19" max="20" width="17.7109375" style="24" customWidth="1"/>
    <col min="21" max="21" width="9.7109375" style="24" customWidth="1"/>
    <col min="22" max="22" width="12.7109375" style="24" customWidth="1"/>
    <col min="23" max="23" width="9.7109375" style="24" customWidth="1"/>
    <col min="24" max="24" width="21.7109375" style="24" customWidth="1"/>
    <col min="25" max="25" width="12.7109375" style="24" customWidth="1"/>
    <col min="26" max="26" width="3.28515625" style="24" customWidth="1"/>
    <col min="27" max="27" width="7.140625" style="24" customWidth="1"/>
    <col min="28" max="28" width="38.42578125" style="24" customWidth="1"/>
    <col min="29" max="29" width="15.7109375" style="24" customWidth="1"/>
    <col min="30" max="30" width="37.5703125" style="24" customWidth="1"/>
    <col min="31" max="31" width="15.7109375" style="24" customWidth="1"/>
    <col min="32" max="37" width="16.7109375" style="24" customWidth="1"/>
    <col min="38" max="58" width="9.140625" style="24"/>
  </cols>
  <sheetData>
    <row r="1" spans="1:58" s="72" customFormat="1" ht="10.5" hidden="1" customHeight="1">
      <c r="A1" s="328"/>
      <c r="B1" s="328"/>
      <c r="C1" s="328"/>
    </row>
    <row r="2" spans="1:58" ht="10.5" hidden="1" customHeight="1"/>
    <row r="3" spans="1:58" s="54" customFormat="1" ht="10.5" hidden="1" customHeight="1">
      <c r="A3" s="328"/>
      <c r="B3" s="328"/>
      <c r="C3" s="328"/>
      <c r="D3" s="72"/>
    </row>
    <row r="4" spans="1:58" ht="3" customHeight="1"/>
    <row r="5" spans="1:58" ht="30" customHeight="1">
      <c r="F5" s="1415" t="s">
        <v>1959</v>
      </c>
      <c r="G5" s="1415"/>
      <c r="H5" s="1415"/>
      <c r="I5" s="1415"/>
      <c r="J5" s="1415"/>
      <c r="K5" s="1415"/>
      <c r="L5" s="710"/>
      <c r="M5" s="710"/>
    </row>
    <row r="6" spans="1:58" ht="10.5" customHeight="1">
      <c r="F6" s="1215" t="str">
        <f>IF(org=0,"Не определено",org)</f>
        <v>ООО "ТЕПЛО ПЛЮС"</v>
      </c>
      <c r="G6" s="1215"/>
      <c r="H6" s="1215"/>
      <c r="I6" s="1215"/>
      <c r="J6" s="1215"/>
      <c r="K6" s="1215"/>
      <c r="L6" s="710"/>
      <c r="M6" s="710"/>
    </row>
    <row r="7" spans="1:58" ht="11.25" customHeight="1">
      <c r="E7" s="25"/>
      <c r="F7" s="570"/>
      <c r="G7" s="570"/>
      <c r="H7" s="570"/>
      <c r="I7" s="570"/>
      <c r="J7" s="570"/>
      <c r="K7" s="572"/>
      <c r="L7" s="572"/>
      <c r="M7" s="572"/>
      <c r="N7" s="570"/>
      <c r="O7" s="570"/>
      <c r="P7" s="570"/>
      <c r="Q7" s="572"/>
      <c r="R7" s="570"/>
      <c r="S7" s="570"/>
      <c r="T7" s="570"/>
      <c r="U7" s="570"/>
      <c r="V7" s="570"/>
      <c r="W7" s="570"/>
      <c r="X7" s="570"/>
      <c r="Y7" s="570"/>
      <c r="Z7" s="570"/>
      <c r="AA7" s="570"/>
      <c r="AB7" s="570"/>
      <c r="AC7" s="571"/>
      <c r="AD7" s="571"/>
      <c r="AE7" s="571"/>
      <c r="AF7" s="570"/>
      <c r="AG7" s="570"/>
      <c r="AH7" s="570"/>
      <c r="AI7" s="570"/>
      <c r="AJ7" s="570"/>
      <c r="AK7" s="570"/>
      <c r="AL7" s="72"/>
      <c r="AM7" s="72"/>
      <c r="AN7" s="72"/>
      <c r="AO7" s="43"/>
      <c r="AP7" s="43"/>
      <c r="AQ7" s="43"/>
      <c r="AR7" s="43"/>
      <c r="AS7" s="43"/>
      <c r="AT7" s="43"/>
      <c r="AU7" s="43"/>
      <c r="AV7" s="43"/>
      <c r="AW7" s="43"/>
      <c r="AX7" s="43"/>
      <c r="AY7" s="43"/>
      <c r="AZ7" s="43"/>
      <c r="BA7" s="43"/>
      <c r="BB7" s="43"/>
      <c r="BC7" s="43"/>
      <c r="BD7" s="43"/>
      <c r="BE7" s="43"/>
      <c r="BF7" s="43"/>
    </row>
    <row r="8" spans="1:58" ht="10.5" customHeight="1">
      <c r="E8" s="25"/>
      <c r="F8" s="1466" t="s">
        <v>292</v>
      </c>
      <c r="G8" s="1467"/>
      <c r="H8" s="1467"/>
      <c r="I8" s="1467"/>
      <c r="J8" s="1467"/>
      <c r="K8" s="1467"/>
      <c r="L8" s="1467"/>
      <c r="M8" s="1467"/>
      <c r="N8" s="1467"/>
      <c r="O8" s="1467"/>
      <c r="P8" s="1467"/>
      <c r="Q8" s="1467"/>
      <c r="R8" s="1467"/>
      <c r="S8" s="1467"/>
      <c r="T8" s="1467"/>
      <c r="U8" s="1467"/>
      <c r="V8" s="1467"/>
      <c r="W8" s="1467"/>
      <c r="X8" s="1467"/>
      <c r="Y8" s="1467"/>
      <c r="Z8" s="1467"/>
      <c r="AA8" s="1467"/>
      <c r="AB8" s="1467"/>
      <c r="AC8" s="1467"/>
      <c r="AD8" s="1467"/>
      <c r="AE8" s="1467"/>
      <c r="AF8" s="1467"/>
      <c r="AG8" s="1467"/>
      <c r="AH8" s="1467"/>
      <c r="AI8" s="1467"/>
      <c r="AJ8" s="1467"/>
      <c r="AK8" s="1468"/>
      <c r="AL8" s="566"/>
      <c r="AM8" s="43"/>
      <c r="AN8" s="43"/>
      <c r="AO8" s="43"/>
      <c r="AP8" s="43"/>
      <c r="AQ8" s="43"/>
      <c r="AR8" s="43"/>
      <c r="AS8" s="43"/>
      <c r="AT8" s="43"/>
      <c r="AU8" s="43"/>
      <c r="AV8" s="43"/>
      <c r="AW8" s="43"/>
      <c r="AX8" s="43"/>
      <c r="AY8" s="43"/>
      <c r="AZ8" s="43"/>
      <c r="BA8" s="43"/>
      <c r="BB8" s="43"/>
      <c r="BC8" s="43"/>
      <c r="BD8" s="43"/>
      <c r="BE8" s="43"/>
      <c r="BF8" s="43"/>
    </row>
    <row r="9" spans="1:58" ht="23.25" customHeight="1">
      <c r="A9" s="565"/>
      <c r="B9" s="565"/>
      <c r="C9" s="565"/>
      <c r="E9" s="25"/>
      <c r="F9" s="1213" t="s">
        <v>1982</v>
      </c>
      <c r="G9" s="1461" t="s">
        <v>1983</v>
      </c>
      <c r="H9" s="1462"/>
      <c r="I9" s="1123" t="s">
        <v>1984</v>
      </c>
      <c r="J9" s="1123"/>
      <c r="K9" s="1123" t="s">
        <v>1985</v>
      </c>
      <c r="L9" s="1123"/>
      <c r="M9" s="1123"/>
      <c r="N9" s="1123"/>
      <c r="O9" s="1123"/>
      <c r="P9" s="1123"/>
      <c r="Q9" s="1123"/>
      <c r="R9" s="1123"/>
      <c r="S9" s="1123"/>
      <c r="T9" s="1123"/>
      <c r="U9" s="1123"/>
      <c r="V9" s="1123"/>
      <c r="W9" s="1123"/>
      <c r="X9" s="1123"/>
      <c r="Y9" s="1123"/>
      <c r="Z9" s="1183" t="s">
        <v>1986</v>
      </c>
      <c r="AA9" s="1184"/>
      <c r="AB9" s="1123" t="s">
        <v>1987</v>
      </c>
      <c r="AC9" s="1123"/>
      <c r="AD9" s="1123"/>
      <c r="AE9" s="1123"/>
      <c r="AF9" s="1182" t="s">
        <v>1988</v>
      </c>
      <c r="AG9" s="1123" t="s">
        <v>1989</v>
      </c>
      <c r="AH9" s="1123"/>
      <c r="AI9" s="1182" t="s">
        <v>1990</v>
      </c>
      <c r="AJ9" s="1123" t="s">
        <v>1991</v>
      </c>
      <c r="AK9" s="1123"/>
      <c r="AM9" s="43"/>
      <c r="AN9" s="43"/>
      <c r="AO9" s="43"/>
      <c r="AP9" s="43"/>
      <c r="AQ9" s="43"/>
      <c r="AR9" s="43"/>
      <c r="AS9" s="43"/>
      <c r="AT9" s="43"/>
      <c r="AU9" s="43"/>
      <c r="AV9" s="43"/>
      <c r="AW9" s="43"/>
      <c r="AX9" s="43"/>
      <c r="AY9" s="43"/>
      <c r="AZ9" s="43"/>
      <c r="BA9" s="43"/>
      <c r="BB9" s="43"/>
      <c r="BC9" s="43"/>
      <c r="BD9" s="43"/>
      <c r="BE9" s="43"/>
      <c r="BF9" s="43"/>
    </row>
    <row r="10" spans="1:58" ht="23.25" customHeight="1">
      <c r="A10" s="565"/>
      <c r="B10" s="565"/>
      <c r="C10" s="565"/>
      <c r="E10" s="25"/>
      <c r="F10" s="1213"/>
      <c r="G10" s="1463"/>
      <c r="H10" s="1214"/>
      <c r="I10" s="1123"/>
      <c r="J10" s="1123"/>
      <c r="K10" s="1123" t="s">
        <v>1992</v>
      </c>
      <c r="L10" s="1105" t="s">
        <v>1993</v>
      </c>
      <c r="M10" s="1104"/>
      <c r="N10" s="1123" t="s">
        <v>1994</v>
      </c>
      <c r="O10" s="1123"/>
      <c r="P10" s="1123"/>
      <c r="Q10" s="1123"/>
      <c r="R10" s="1123"/>
      <c r="S10" s="1123"/>
      <c r="T10" s="1123"/>
      <c r="U10" s="1123"/>
      <c r="V10" s="1123"/>
      <c r="W10" s="1123"/>
      <c r="X10" s="1123"/>
      <c r="Y10" s="1123"/>
      <c r="Z10" s="1185"/>
      <c r="AA10" s="1186"/>
      <c r="AB10" s="1123"/>
      <c r="AC10" s="1123"/>
      <c r="AD10" s="1123"/>
      <c r="AE10" s="1123"/>
      <c r="AF10" s="1187"/>
      <c r="AG10" s="1123"/>
      <c r="AH10" s="1123"/>
      <c r="AI10" s="1187"/>
      <c r="AJ10" s="1123"/>
      <c r="AK10" s="1123"/>
      <c r="AM10" s="43"/>
      <c r="AN10" s="43"/>
      <c r="AO10" s="43"/>
      <c r="AP10" s="43"/>
      <c r="AQ10" s="43"/>
      <c r="AR10" s="43"/>
      <c r="AS10" s="43"/>
      <c r="AT10" s="43"/>
      <c r="AU10" s="43"/>
      <c r="AV10" s="43"/>
      <c r="AW10" s="43"/>
      <c r="AX10" s="43"/>
      <c r="AY10" s="43"/>
      <c r="AZ10" s="43"/>
      <c r="BA10" s="43"/>
      <c r="BB10" s="43"/>
      <c r="BC10" s="43"/>
      <c r="BD10" s="43"/>
      <c r="BE10" s="43"/>
      <c r="BF10" s="43"/>
    </row>
    <row r="11" spans="1:58" s="24" customFormat="1" ht="23.25" customHeight="1">
      <c r="A11" s="565"/>
      <c r="B11" s="565"/>
      <c r="C11" s="565"/>
      <c r="D11" s="72"/>
      <c r="E11" s="25"/>
      <c r="F11" s="1213"/>
      <c r="G11" s="1463"/>
      <c r="H11" s="1214"/>
      <c r="I11" s="1123"/>
      <c r="J11" s="1123"/>
      <c r="K11" s="1123"/>
      <c r="L11" s="1182" t="s">
        <v>1995</v>
      </c>
      <c r="M11" s="1182" t="s">
        <v>1996</v>
      </c>
      <c r="N11" s="1123" t="s">
        <v>1997</v>
      </c>
      <c r="O11" s="1123"/>
      <c r="P11" s="1180" t="s">
        <v>1978</v>
      </c>
      <c r="Q11" s="1180" t="s">
        <v>1998</v>
      </c>
      <c r="R11" s="1180" t="s">
        <v>1999</v>
      </c>
      <c r="S11" s="1180" t="s">
        <v>2000</v>
      </c>
      <c r="T11" s="1180"/>
      <c r="U11" s="1180"/>
      <c r="V11" s="1180"/>
      <c r="W11" s="1180"/>
      <c r="X11" s="1180"/>
      <c r="Y11" s="1180"/>
      <c r="Z11" s="1185"/>
      <c r="AA11" s="1186"/>
      <c r="AB11" s="1123" t="s">
        <v>2001</v>
      </c>
      <c r="AC11" s="1123"/>
      <c r="AD11" s="1105" t="s">
        <v>2002</v>
      </c>
      <c r="AE11" s="1104"/>
      <c r="AF11" s="1187"/>
      <c r="AG11" s="1123"/>
      <c r="AH11" s="1123"/>
      <c r="AI11" s="1187"/>
      <c r="AJ11" s="1123"/>
      <c r="AK11" s="1123"/>
      <c r="AM11" s="43"/>
      <c r="AN11" s="43"/>
      <c r="AO11" s="43"/>
      <c r="AP11" s="43"/>
      <c r="AQ11" s="43"/>
      <c r="AR11" s="43"/>
      <c r="AS11" s="43"/>
      <c r="AT11" s="43"/>
      <c r="AU11" s="43"/>
      <c r="AV11" s="43"/>
      <c r="AW11" s="43"/>
      <c r="AX11" s="43"/>
      <c r="AY11" s="43"/>
      <c r="AZ11" s="43"/>
      <c r="BA11" s="43"/>
      <c r="BB11" s="43"/>
      <c r="BC11" s="43"/>
      <c r="BD11" s="43"/>
      <c r="BE11" s="43"/>
      <c r="BF11" s="43"/>
    </row>
    <row r="12" spans="1:58" ht="33.75" customHeight="1">
      <c r="A12" s="565"/>
      <c r="B12" s="565"/>
      <c r="C12" s="565"/>
      <c r="E12" s="25"/>
      <c r="F12" s="1213"/>
      <c r="G12" s="1464"/>
      <c r="H12" s="1465"/>
      <c r="I12" s="50" t="s">
        <v>89</v>
      </c>
      <c r="J12" s="50" t="s">
        <v>2003</v>
      </c>
      <c r="K12" s="1123"/>
      <c r="L12" s="1238"/>
      <c r="M12" s="1238"/>
      <c r="N12" s="1123"/>
      <c r="O12" s="1123"/>
      <c r="P12" s="1180"/>
      <c r="Q12" s="1180"/>
      <c r="R12" s="1180"/>
      <c r="S12" s="48" t="s">
        <v>86</v>
      </c>
      <c r="T12" s="48" t="s">
        <v>87</v>
      </c>
      <c r="U12" s="48" t="s">
        <v>85</v>
      </c>
      <c r="V12" s="48" t="s">
        <v>2004</v>
      </c>
      <c r="W12" s="48" t="s">
        <v>85</v>
      </c>
      <c r="X12" s="48" t="s">
        <v>2005</v>
      </c>
      <c r="Y12" s="48" t="s">
        <v>2006</v>
      </c>
      <c r="Z12" s="1188"/>
      <c r="AA12" s="1189"/>
      <c r="AB12" s="50" t="s">
        <v>2007</v>
      </c>
      <c r="AC12" s="50" t="s">
        <v>2008</v>
      </c>
      <c r="AD12" s="50" t="s">
        <v>2007</v>
      </c>
      <c r="AE12" s="50" t="s">
        <v>2008</v>
      </c>
      <c r="AF12" s="1238"/>
      <c r="AG12" s="50" t="s">
        <v>2009</v>
      </c>
      <c r="AH12" s="50" t="s">
        <v>2010</v>
      </c>
      <c r="AI12" s="1238"/>
      <c r="AJ12" s="50" t="s">
        <v>2009</v>
      </c>
      <c r="AK12" s="50" t="s">
        <v>2010</v>
      </c>
      <c r="AM12" s="43"/>
      <c r="AN12" s="43"/>
      <c r="AO12" s="43"/>
      <c r="AP12" s="43"/>
      <c r="AQ12" s="43"/>
      <c r="AR12" s="43"/>
      <c r="AS12" s="43"/>
      <c r="AT12" s="43"/>
      <c r="AU12" s="43"/>
      <c r="AV12" s="43"/>
      <c r="AW12" s="43"/>
      <c r="AX12" s="43"/>
      <c r="AY12" s="43"/>
      <c r="AZ12" s="43"/>
      <c r="BA12" s="43"/>
      <c r="BB12" s="43"/>
      <c r="BC12" s="43"/>
      <c r="BD12" s="43"/>
      <c r="BE12" s="43"/>
      <c r="BF12" s="43"/>
    </row>
    <row r="13" spans="1:58" ht="0.75" customHeight="1">
      <c r="E13" s="25"/>
      <c r="F13" s="25">
        <v>0</v>
      </c>
      <c r="G13" s="25"/>
      <c r="H13" s="25"/>
      <c r="I13" s="25"/>
      <c r="J13" s="25"/>
      <c r="AL13" s="566"/>
      <c r="AM13" s="43"/>
      <c r="AN13" s="43"/>
      <c r="AO13" s="43"/>
      <c r="AP13" s="43"/>
      <c r="AQ13" s="43"/>
      <c r="AR13" s="43"/>
      <c r="AS13" s="43"/>
      <c r="AT13" s="43"/>
      <c r="AU13" s="43"/>
      <c r="AV13" s="43"/>
      <c r="AW13" s="43"/>
      <c r="AX13" s="43"/>
      <c r="AY13" s="43"/>
      <c r="AZ13" s="43"/>
      <c r="BA13" s="43"/>
      <c r="BB13" s="43"/>
      <c r="BC13" s="43"/>
      <c r="BD13" s="43"/>
      <c r="BE13" s="43"/>
      <c r="BF13" s="43"/>
    </row>
    <row r="14" spans="1:58" ht="10.5" customHeight="1">
      <c r="E14" s="43"/>
      <c r="AL14" s="43"/>
      <c r="AM14" s="43"/>
      <c r="AN14" s="43"/>
      <c r="AO14" s="43"/>
      <c r="AP14" s="43"/>
      <c r="AQ14" s="43"/>
      <c r="AR14" s="43"/>
      <c r="AS14" s="43"/>
      <c r="AT14" s="43"/>
      <c r="AU14" s="43"/>
      <c r="AV14" s="43"/>
      <c r="AW14" s="43"/>
      <c r="AX14" s="43"/>
      <c r="AY14" s="43"/>
      <c r="AZ14" s="43"/>
      <c r="BA14" s="43"/>
      <c r="BB14" s="43"/>
      <c r="BC14" s="43"/>
      <c r="BD14" s="43"/>
      <c r="BE14" s="43"/>
      <c r="BF14" s="43"/>
    </row>
    <row r="15" spans="1:58" ht="12.75" customHeight="1">
      <c r="E15" s="43"/>
      <c r="F15" s="369" t="s">
        <v>2011</v>
      </c>
      <c r="G15" s="369"/>
      <c r="H15" s="369"/>
      <c r="I15" s="369"/>
      <c r="J15" s="369"/>
      <c r="K15" s="43"/>
      <c r="L15" s="43"/>
      <c r="M15" s="43"/>
      <c r="N15" s="43"/>
      <c r="O15" s="43"/>
      <c r="P15" s="43"/>
      <c r="Q15" s="43"/>
      <c r="R15" s="43"/>
      <c r="S15" s="43"/>
      <c r="T15" s="43"/>
      <c r="U15" s="43"/>
      <c r="V15" s="43"/>
      <c r="W15" s="43"/>
      <c r="X15" s="43"/>
      <c r="Y15" s="43"/>
      <c r="Z15" s="43"/>
      <c r="AA15" s="43"/>
      <c r="AB15" s="43"/>
      <c r="AC15" s="43"/>
      <c r="AD15" s="43"/>
      <c r="AE15" s="43"/>
      <c r="AF15" s="43"/>
      <c r="AG15" s="43"/>
      <c r="AH15" s="43"/>
      <c r="AI15" s="43"/>
      <c r="AJ15" s="43"/>
      <c r="AK15" s="43"/>
      <c r="AL15" s="43"/>
      <c r="AM15" s="43"/>
      <c r="AN15" s="43"/>
      <c r="AO15" s="43"/>
      <c r="AP15" s="43"/>
      <c r="AQ15" s="43"/>
      <c r="AR15" s="43"/>
      <c r="AS15" s="43"/>
      <c r="AT15" s="43"/>
      <c r="AU15" s="43"/>
      <c r="AV15" s="43"/>
      <c r="AW15" s="43"/>
      <c r="AX15" s="43"/>
      <c r="AY15" s="43"/>
      <c r="AZ15" s="43"/>
      <c r="BA15" s="43"/>
      <c r="BB15" s="43"/>
      <c r="BC15" s="43"/>
      <c r="BD15" s="43"/>
      <c r="BE15" s="43"/>
      <c r="BF15" s="43"/>
    </row>
    <row r="17" spans="5:58" ht="10.5" customHeight="1">
      <c r="E17" s="43"/>
      <c r="F17" s="1460"/>
      <c r="G17" s="1460"/>
      <c r="H17" s="1460"/>
      <c r="I17" s="1460"/>
      <c r="J17" s="1460"/>
      <c r="K17" s="43"/>
      <c r="L17" s="43"/>
      <c r="M17" s="43"/>
      <c r="N17" s="43"/>
      <c r="O17" s="43"/>
      <c r="P17" s="43"/>
      <c r="Q17" s="43"/>
      <c r="R17" s="43"/>
      <c r="S17" s="43"/>
      <c r="T17" s="43"/>
      <c r="U17" s="43"/>
      <c r="V17" s="43"/>
      <c r="W17" s="43"/>
      <c r="X17" s="43"/>
      <c r="Y17" s="43"/>
      <c r="Z17" s="43"/>
      <c r="AA17" s="43"/>
      <c r="AB17" s="43"/>
      <c r="AC17" s="43"/>
      <c r="AD17" s="43"/>
      <c r="AE17" s="43"/>
      <c r="AF17" s="43"/>
      <c r="AG17" s="43"/>
      <c r="AH17" s="43"/>
      <c r="AI17" s="43"/>
      <c r="AJ17" s="43"/>
      <c r="AK17" s="43"/>
      <c r="AL17" s="43"/>
      <c r="AM17" s="43"/>
      <c r="AN17" s="43"/>
      <c r="AO17" s="43"/>
      <c r="AP17" s="43"/>
      <c r="AQ17" s="43"/>
      <c r="AR17" s="43"/>
      <c r="AS17" s="43"/>
      <c r="AT17" s="43"/>
      <c r="AU17" s="43"/>
      <c r="AV17" s="43"/>
      <c r="AW17" s="43"/>
      <c r="AX17" s="43"/>
      <c r="AY17" s="43"/>
      <c r="AZ17" s="43"/>
      <c r="BA17" s="43"/>
      <c r="BB17" s="43"/>
      <c r="BC17" s="43"/>
      <c r="BD17" s="43"/>
      <c r="BE17" s="43"/>
      <c r="BF17" s="43"/>
    </row>
    <row r="18" spans="5:58" ht="10.5" customHeight="1">
      <c r="E18" s="43"/>
      <c r="F18" s="1460"/>
      <c r="G18" s="1460"/>
      <c r="H18" s="1460"/>
      <c r="I18" s="1460"/>
      <c r="J18" s="1460"/>
      <c r="K18" s="43"/>
      <c r="L18" s="43"/>
      <c r="M18" s="43"/>
      <c r="N18" s="43"/>
      <c r="O18" s="43"/>
      <c r="P18" s="43"/>
      <c r="Q18" s="43"/>
      <c r="R18" s="43"/>
      <c r="S18" s="43"/>
      <c r="T18" s="43"/>
      <c r="U18" s="43"/>
      <c r="V18" s="43"/>
      <c r="W18" s="43"/>
      <c r="X18" s="43"/>
      <c r="Y18" s="43"/>
      <c r="Z18" s="43"/>
      <c r="AA18" s="43"/>
      <c r="AB18" s="43"/>
      <c r="AC18" s="43"/>
      <c r="AD18" s="43"/>
      <c r="AE18" s="43"/>
      <c r="AF18" s="43"/>
      <c r="AG18" s="43"/>
      <c r="AH18" s="43"/>
      <c r="AI18" s="43"/>
      <c r="AJ18" s="43"/>
      <c r="AK18" s="43"/>
      <c r="AL18" s="43"/>
      <c r="AM18" s="43"/>
      <c r="AN18" s="43"/>
      <c r="AO18" s="43"/>
      <c r="AP18" s="43"/>
      <c r="AQ18" s="43"/>
      <c r="AR18" s="43"/>
      <c r="AS18" s="43"/>
      <c r="AT18" s="43"/>
      <c r="AU18" s="43"/>
      <c r="AV18" s="43"/>
      <c r="AW18" s="43"/>
      <c r="AX18" s="43"/>
      <c r="AY18" s="43"/>
      <c r="AZ18" s="43"/>
      <c r="BA18" s="43"/>
      <c r="BB18" s="43"/>
      <c r="BC18" s="43"/>
      <c r="BD18" s="43"/>
      <c r="BE18" s="43"/>
      <c r="BF18" s="43"/>
    </row>
    <row r="19" spans="5:58" ht="10.5" customHeight="1">
      <c r="E19" s="43"/>
      <c r="F19" s="1460"/>
      <c r="G19" s="1460"/>
      <c r="H19" s="1460"/>
      <c r="I19" s="1460"/>
      <c r="J19" s="1460"/>
      <c r="K19" s="43"/>
      <c r="L19" s="43"/>
      <c r="M19" s="43"/>
      <c r="N19" s="43"/>
      <c r="O19" s="43"/>
      <c r="P19" s="43"/>
      <c r="Q19" s="43"/>
      <c r="R19" s="43"/>
      <c r="S19" s="43"/>
      <c r="T19" s="43"/>
      <c r="U19" s="43"/>
      <c r="V19" s="43"/>
      <c r="W19" s="43"/>
      <c r="X19" s="43"/>
      <c r="Y19" s="43"/>
      <c r="Z19" s="43"/>
      <c r="AA19" s="43"/>
      <c r="AB19" s="43"/>
      <c r="AC19" s="43"/>
      <c r="AD19" s="43"/>
      <c r="AE19" s="43"/>
      <c r="AF19" s="43"/>
      <c r="AG19" s="43"/>
      <c r="AH19" s="43"/>
      <c r="AI19" s="43"/>
      <c r="AJ19" s="43"/>
      <c r="AK19" s="43"/>
      <c r="AL19" s="43"/>
      <c r="AM19" s="43"/>
      <c r="AN19" s="43"/>
      <c r="AO19" s="43"/>
      <c r="AP19" s="43"/>
      <c r="AQ19" s="43"/>
      <c r="AR19" s="43"/>
      <c r="AS19" s="43"/>
      <c r="AT19" s="43"/>
      <c r="AU19" s="43"/>
      <c r="AV19" s="43"/>
      <c r="AW19" s="43"/>
      <c r="AX19" s="43"/>
      <c r="AY19" s="43"/>
      <c r="AZ19" s="43"/>
      <c r="BA19" s="43"/>
      <c r="BB19" s="43"/>
      <c r="BC19" s="43"/>
      <c r="BD19" s="43"/>
      <c r="BE19" s="43"/>
      <c r="BF19" s="43"/>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E6B346-8B54-B958-EFD6-1083E224B561}">
  <sheetPr>
    <tabColor theme="9" tint="-0.249977111117893"/>
  </sheetPr>
  <dimension ref="A1:V58"/>
  <sheetViews>
    <sheetView showGridLines="0" topLeftCell="E4" zoomScale="85" workbookViewId="0"/>
  </sheetViews>
  <sheetFormatPr defaultColWidth="9.140625" defaultRowHeight="10.5" customHeight="1"/>
  <cols>
    <col min="1" max="3" width="4.140625" style="328" hidden="1" customWidth="1"/>
    <col min="4" max="4" width="4.140625" style="72" hidden="1" customWidth="1"/>
    <col min="5" max="5" width="3.7109375" style="24" customWidth="1"/>
    <col min="6" max="6" width="6.28515625" style="24" customWidth="1"/>
    <col min="7" max="7" width="60.140625" style="24" customWidth="1"/>
    <col min="8" max="9" width="21.7109375" style="24" hidden="1" customWidth="1"/>
    <col min="10" max="10" width="0.140625" style="24" customWidth="1"/>
    <col min="11" max="11" width="1.7109375" style="24" customWidth="1"/>
    <col min="12" max="22" width="9.140625" style="24"/>
  </cols>
  <sheetData>
    <row r="1" spans="1:22" s="72" customFormat="1" ht="10.5" hidden="1" customHeight="1">
      <c r="A1" s="328"/>
      <c r="B1" s="328"/>
      <c r="C1" s="328"/>
    </row>
    <row r="2" spans="1:22" ht="10.5" hidden="1" customHeight="1"/>
    <row r="3" spans="1:22" s="54" customFormat="1" ht="10.5" hidden="1" customHeight="1">
      <c r="A3" s="328"/>
      <c r="B3" s="328"/>
      <c r="C3" s="328"/>
      <c r="D3" s="72"/>
    </row>
    <row r="4" spans="1:22" ht="3" customHeight="1"/>
    <row r="5" spans="1:22" ht="30" customHeight="1">
      <c r="F5" s="1415" t="s">
        <v>2012</v>
      </c>
      <c r="G5" s="1415"/>
      <c r="H5" s="1415"/>
      <c r="I5" s="1415"/>
      <c r="J5" s="1415"/>
    </row>
    <row r="6" spans="1:22" ht="10.5" customHeight="1">
      <c r="F6" s="1215" t="str">
        <f>IF(org=0,"Не определено",org)</f>
        <v>ООО "ТЕПЛО ПЛЮС"</v>
      </c>
      <c r="G6" s="1215"/>
      <c r="H6" s="1215"/>
      <c r="I6" s="1215"/>
      <c r="J6" s="1215"/>
    </row>
    <row r="7" spans="1:22" ht="11.25" customHeight="1">
      <c r="E7" s="25"/>
      <c r="F7" s="756"/>
      <c r="G7" s="756"/>
      <c r="H7" s="756"/>
      <c r="I7" s="756"/>
      <c r="J7" s="756"/>
      <c r="K7" s="43"/>
      <c r="L7" s="43"/>
      <c r="M7" s="43"/>
      <c r="N7" s="43"/>
      <c r="O7" s="43"/>
      <c r="P7" s="43"/>
      <c r="Q7" s="43"/>
      <c r="R7" s="43"/>
      <c r="S7" s="43"/>
      <c r="T7" s="43"/>
      <c r="U7" s="43"/>
      <c r="V7" s="43"/>
    </row>
    <row r="8" spans="1:22" s="77" customFormat="1" ht="5.25" customHeight="1">
      <c r="A8" s="338"/>
      <c r="B8" s="338"/>
      <c r="C8" s="338"/>
      <c r="E8" s="111"/>
      <c r="F8" s="757"/>
      <c r="G8" s="757"/>
      <c r="H8" s="757"/>
      <c r="I8" s="757"/>
      <c r="J8" s="757"/>
      <c r="K8" s="111"/>
      <c r="L8" s="111"/>
      <c r="M8" s="111"/>
      <c r="N8" s="111"/>
      <c r="O8" s="111"/>
      <c r="P8" s="111"/>
      <c r="Q8" s="111"/>
      <c r="R8" s="111"/>
      <c r="S8" s="111"/>
      <c r="T8" s="111"/>
      <c r="U8" s="111"/>
      <c r="V8" s="111"/>
    </row>
    <row r="9" spans="1:22" ht="10.5" customHeight="1">
      <c r="E9" s="25"/>
      <c r="F9" s="1469" t="s">
        <v>292</v>
      </c>
      <c r="G9" s="1470"/>
      <c r="H9" s="1470"/>
      <c r="I9" s="1470"/>
      <c r="J9" s="1470"/>
      <c r="K9" s="764"/>
      <c r="L9" s="43"/>
      <c r="M9" s="43"/>
      <c r="N9" s="43"/>
      <c r="O9" s="43"/>
      <c r="P9" s="43"/>
      <c r="Q9" s="43"/>
      <c r="R9" s="43"/>
      <c r="S9" s="43"/>
      <c r="T9" s="43"/>
      <c r="U9" s="43"/>
      <c r="V9" s="43"/>
    </row>
    <row r="10" spans="1:22" ht="24" customHeight="1">
      <c r="E10" s="43"/>
      <c r="F10" s="1473" t="s">
        <v>88</v>
      </c>
      <c r="G10" s="1477" t="s">
        <v>2013</v>
      </c>
      <c r="H10" s="1456" t="s">
        <v>2014</v>
      </c>
      <c r="I10" s="1456"/>
      <c r="J10" s="1456"/>
      <c r="K10" s="759"/>
      <c r="L10" s="43"/>
      <c r="M10" s="43"/>
      <c r="N10" s="43"/>
      <c r="O10" s="43"/>
      <c r="P10" s="43"/>
      <c r="Q10" s="43"/>
      <c r="R10" s="43"/>
      <c r="S10" s="43"/>
      <c r="T10" s="43"/>
      <c r="U10" s="43"/>
      <c r="V10" s="43"/>
    </row>
    <row r="11" spans="1:22" ht="24" customHeight="1">
      <c r="E11" s="43"/>
      <c r="F11" s="1474"/>
      <c r="G11" s="1477"/>
      <c r="H11" s="1476" t="e">
        <f>INDEX(IP_MAIN_LIST_NAME_IP,MATCH(H8,IP_MAIN_LIST_IP_ID,0))&amp;" ("&amp;INDEX(IP_MAIN_START_DATE,MATCH(H8,IP_MAIN_LIST_IP_ID,0))&amp;"-"&amp;INDEX(IP_MAIN_END_DATE,MATCH(H8,IP_MAIN_LIST_IP_ID,0))&amp;")"</f>
        <v>#N/A</v>
      </c>
      <c r="I11" s="1476"/>
      <c r="J11" s="1476"/>
      <c r="K11" s="759"/>
      <c r="L11" s="43"/>
      <c r="M11" s="43"/>
      <c r="N11" s="43"/>
      <c r="O11" s="43"/>
      <c r="P11" s="43"/>
      <c r="Q11" s="43"/>
      <c r="R11" s="43"/>
      <c r="S11" s="43"/>
      <c r="T11" s="43"/>
      <c r="U11" s="43"/>
      <c r="V11" s="43"/>
    </row>
    <row r="12" spans="1:22" ht="10.5" customHeight="1">
      <c r="F12" s="1475"/>
      <c r="G12" s="1477"/>
      <c r="H12" s="153" t="s">
        <v>2015</v>
      </c>
      <c r="I12" s="758"/>
      <c r="J12" s="153"/>
      <c r="K12" s="760"/>
    </row>
    <row r="13" spans="1:22" ht="10.5" hidden="1" customHeight="1">
      <c r="F13" s="153">
        <v>1</v>
      </c>
      <c r="G13" s="153">
        <v>2</v>
      </c>
      <c r="H13" s="153">
        <v>3</v>
      </c>
      <c r="I13" s="153">
        <v>4</v>
      </c>
      <c r="J13" s="153">
        <v>5</v>
      </c>
      <c r="K13" s="760"/>
    </row>
    <row r="14" spans="1:22" ht="11.25" customHeight="1">
      <c r="F14" s="265" t="s">
        <v>1220</v>
      </c>
      <c r="G14" s="1471" t="s">
        <v>2016</v>
      </c>
      <c r="H14" s="1471"/>
      <c r="I14" s="1471"/>
      <c r="J14" s="1471"/>
      <c r="K14" s="760"/>
    </row>
    <row r="15" spans="1:22" ht="11.25" customHeight="1">
      <c r="F15" s="153">
        <v>1</v>
      </c>
      <c r="G15" s="421" t="s">
        <v>2017</v>
      </c>
      <c r="H15" s="391">
        <f t="shared" ref="H15:H36" si="0">SUM(I15:J15)</f>
        <v>0</v>
      </c>
      <c r="I15" s="391">
        <f>SUM(I16:I27)</f>
        <v>0</v>
      </c>
      <c r="J15" s="265"/>
      <c r="K15" s="760"/>
    </row>
    <row r="16" spans="1:22" ht="22.5" customHeight="1">
      <c r="F16" s="153" t="s">
        <v>620</v>
      </c>
      <c r="G16" s="762" t="s">
        <v>1173</v>
      </c>
      <c r="H16" s="391">
        <f t="shared" si="0"/>
        <v>0</v>
      </c>
      <c r="I16" s="761"/>
      <c r="J16" s="265"/>
      <c r="K16" s="760"/>
    </row>
    <row r="17" spans="6:11" ht="22.5" customHeight="1">
      <c r="F17" s="153" t="s">
        <v>626</v>
      </c>
      <c r="G17" s="762" t="s">
        <v>1178</v>
      </c>
      <c r="H17" s="391">
        <f t="shared" si="0"/>
        <v>0</v>
      </c>
      <c r="I17" s="761"/>
      <c r="J17" s="265"/>
      <c r="K17" s="760"/>
    </row>
    <row r="18" spans="6:11" ht="33.75" customHeight="1">
      <c r="F18" s="153" t="s">
        <v>1450</v>
      </c>
      <c r="G18" s="762" t="s">
        <v>1166</v>
      </c>
      <c r="H18" s="391">
        <f t="shared" si="0"/>
        <v>0</v>
      </c>
      <c r="I18" s="761"/>
      <c r="J18" s="265"/>
      <c r="K18" s="760"/>
    </row>
    <row r="19" spans="6:11" ht="33.75" customHeight="1">
      <c r="F19" s="153" t="s">
        <v>2018</v>
      </c>
      <c r="G19" s="762" t="s">
        <v>1204</v>
      </c>
      <c r="H19" s="391">
        <f t="shared" si="0"/>
        <v>0</v>
      </c>
      <c r="I19" s="761"/>
      <c r="J19" s="265"/>
      <c r="K19" s="760"/>
    </row>
    <row r="20" spans="6:11" ht="45" customHeight="1">
      <c r="F20" s="153" t="s">
        <v>2019</v>
      </c>
      <c r="G20" s="762" t="s">
        <v>1207</v>
      </c>
      <c r="H20" s="391">
        <f t="shared" si="0"/>
        <v>0</v>
      </c>
      <c r="I20" s="761"/>
      <c r="J20" s="265"/>
      <c r="K20" s="760"/>
    </row>
    <row r="21" spans="6:11" ht="33.75" customHeight="1">
      <c r="F21" s="153" t="s">
        <v>2020</v>
      </c>
      <c r="G21" s="762" t="s">
        <v>1213</v>
      </c>
      <c r="H21" s="391">
        <f t="shared" si="0"/>
        <v>0</v>
      </c>
      <c r="I21" s="761"/>
      <c r="J21" s="265"/>
      <c r="K21" s="760"/>
    </row>
    <row r="22" spans="6:11" ht="33.75" customHeight="1">
      <c r="F22" s="153" t="s">
        <v>2021</v>
      </c>
      <c r="G22" s="762" t="s">
        <v>1218</v>
      </c>
      <c r="H22" s="391">
        <f t="shared" si="0"/>
        <v>0</v>
      </c>
      <c r="I22" s="761"/>
      <c r="J22" s="265"/>
      <c r="K22" s="760"/>
    </row>
    <row r="23" spans="6:11" ht="22.5" customHeight="1">
      <c r="F23" s="153" t="s">
        <v>2022</v>
      </c>
      <c r="G23" s="762" t="s">
        <v>1222</v>
      </c>
      <c r="H23" s="391">
        <f t="shared" si="0"/>
        <v>0</v>
      </c>
      <c r="I23" s="761"/>
      <c r="J23" s="265"/>
      <c r="K23" s="760"/>
    </row>
    <row r="24" spans="6:11" ht="22.5" customHeight="1">
      <c r="F24" s="153" t="s">
        <v>2023</v>
      </c>
      <c r="G24" s="762" t="s">
        <v>1199</v>
      </c>
      <c r="H24" s="391">
        <f t="shared" si="0"/>
        <v>0</v>
      </c>
      <c r="I24" s="761"/>
      <c r="J24" s="265"/>
      <c r="K24" s="760"/>
    </row>
    <row r="25" spans="6:11" ht="33.75" customHeight="1">
      <c r="F25" s="153" t="s">
        <v>2024</v>
      </c>
      <c r="G25" s="762" t="s">
        <v>1259</v>
      </c>
      <c r="H25" s="391">
        <f t="shared" si="0"/>
        <v>0</v>
      </c>
      <c r="I25" s="761"/>
      <c r="J25" s="265"/>
      <c r="K25" s="760"/>
    </row>
    <row r="26" spans="6:11" ht="33.75" customHeight="1">
      <c r="F26" s="153" t="s">
        <v>2025</v>
      </c>
      <c r="G26" s="762" t="s">
        <v>1261</v>
      </c>
      <c r="H26" s="391">
        <f t="shared" si="0"/>
        <v>0</v>
      </c>
      <c r="I26" s="761"/>
      <c r="J26" s="265"/>
      <c r="K26" s="760"/>
    </row>
    <row r="27" spans="6:11" ht="11.25" customHeight="1">
      <c r="F27" s="153" t="s">
        <v>2026</v>
      </c>
      <c r="G27" s="762" t="s">
        <v>1177</v>
      </c>
      <c r="H27" s="391">
        <f t="shared" si="0"/>
        <v>0</v>
      </c>
      <c r="I27" s="761"/>
      <c r="J27" s="265"/>
      <c r="K27" s="760"/>
    </row>
    <row r="28" spans="6:11" ht="11.25" customHeight="1">
      <c r="F28" s="153">
        <v>2</v>
      </c>
      <c r="G28" s="421" t="s">
        <v>2027</v>
      </c>
      <c r="H28" s="391">
        <f t="shared" si="0"/>
        <v>0</v>
      </c>
      <c r="I28" s="391">
        <f>SUM(I29:I31)</f>
        <v>0</v>
      </c>
      <c r="J28" s="265"/>
      <c r="K28" s="760"/>
    </row>
    <row r="29" spans="6:11" ht="11.25" customHeight="1">
      <c r="F29" s="153" t="s">
        <v>505</v>
      </c>
      <c r="G29" s="762" t="s">
        <v>2028</v>
      </c>
      <c r="H29" s="391">
        <f t="shared" si="0"/>
        <v>0</v>
      </c>
      <c r="I29" s="761"/>
      <c r="J29" s="265"/>
      <c r="K29" s="760"/>
    </row>
    <row r="30" spans="6:11" ht="11.25" customHeight="1">
      <c r="F30" s="153" t="s">
        <v>299</v>
      </c>
      <c r="G30" s="762" t="s">
        <v>1174</v>
      </c>
      <c r="H30" s="391">
        <f t="shared" si="0"/>
        <v>0</v>
      </c>
      <c r="I30" s="761"/>
      <c r="J30" s="265"/>
      <c r="K30" s="760"/>
    </row>
    <row r="31" spans="6:11" ht="11.25" customHeight="1">
      <c r="F31" s="153" t="s">
        <v>302</v>
      </c>
      <c r="G31" s="762" t="s">
        <v>1217</v>
      </c>
      <c r="H31" s="391">
        <f t="shared" si="0"/>
        <v>0</v>
      </c>
      <c r="I31" s="761"/>
      <c r="J31" s="265"/>
      <c r="K31" s="760"/>
    </row>
    <row r="32" spans="6:11" ht="11.25" customHeight="1">
      <c r="F32" s="153">
        <v>3</v>
      </c>
      <c r="G32" s="421" t="s">
        <v>2029</v>
      </c>
      <c r="H32" s="391">
        <f t="shared" si="0"/>
        <v>0</v>
      </c>
      <c r="I32" s="391">
        <f>SUM(I33:I34)</f>
        <v>0</v>
      </c>
      <c r="J32" s="265"/>
      <c r="K32" s="760"/>
    </row>
    <row r="33" spans="6:11" ht="33.75" customHeight="1">
      <c r="F33" s="153" t="s">
        <v>318</v>
      </c>
      <c r="G33" s="762" t="s">
        <v>2030</v>
      </c>
      <c r="H33" s="391">
        <f t="shared" si="0"/>
        <v>0</v>
      </c>
      <c r="I33" s="761"/>
      <c r="J33" s="265"/>
      <c r="K33" s="760"/>
    </row>
    <row r="34" spans="6:11" ht="11.25" customHeight="1">
      <c r="F34" s="153" t="s">
        <v>326</v>
      </c>
      <c r="G34" s="762" t="s">
        <v>2031</v>
      </c>
      <c r="H34" s="391">
        <f t="shared" si="0"/>
        <v>0</v>
      </c>
      <c r="I34" s="761"/>
      <c r="J34" s="265"/>
      <c r="K34" s="760"/>
    </row>
    <row r="35" spans="6:11" ht="11.25" customHeight="1">
      <c r="F35" s="153">
        <v>4</v>
      </c>
      <c r="G35" s="421" t="s">
        <v>2032</v>
      </c>
      <c r="H35" s="391">
        <f t="shared" si="0"/>
        <v>0</v>
      </c>
      <c r="I35" s="761"/>
      <c r="J35" s="265"/>
      <c r="K35" s="760"/>
    </row>
    <row r="36" spans="6:11" ht="11.25" customHeight="1">
      <c r="F36" s="153"/>
      <c r="G36" s="196" t="s">
        <v>2033</v>
      </c>
      <c r="H36" s="391">
        <f t="shared" si="0"/>
        <v>0</v>
      </c>
      <c r="I36" s="391">
        <f>SUM(I15,I28,I32,I35)</f>
        <v>0</v>
      </c>
      <c r="J36" s="265"/>
      <c r="K36" s="760"/>
    </row>
    <row r="37" spans="6:11" ht="27.75" customHeight="1">
      <c r="F37" s="265" t="s">
        <v>1350</v>
      </c>
      <c r="G37" s="1472" t="s">
        <v>2034</v>
      </c>
      <c r="H37" s="1472"/>
      <c r="I37" s="1472"/>
      <c r="J37" s="1472"/>
      <c r="K37" s="760"/>
    </row>
    <row r="38" spans="6:11" ht="22.5" customHeight="1">
      <c r="F38" s="153" t="s">
        <v>109</v>
      </c>
      <c r="G38" s="421" t="s">
        <v>2035</v>
      </c>
      <c r="H38" s="391">
        <f t="shared" ref="H38:H58" si="1">SUM(I38:J38)</f>
        <v>0</v>
      </c>
      <c r="I38" s="391">
        <f>SUM(I39,I44,I47)</f>
        <v>0</v>
      </c>
      <c r="J38" s="265"/>
      <c r="K38" s="760"/>
    </row>
    <row r="39" spans="6:11" ht="11.25" customHeight="1">
      <c r="F39" s="153" t="s">
        <v>620</v>
      </c>
      <c r="G39" s="762" t="s">
        <v>2017</v>
      </c>
      <c r="H39" s="391">
        <f t="shared" si="1"/>
        <v>0</v>
      </c>
      <c r="I39" s="391">
        <f>SUM(I40:I43)</f>
        <v>0</v>
      </c>
      <c r="J39" s="265"/>
      <c r="K39" s="760"/>
    </row>
    <row r="40" spans="6:11" ht="22.5" customHeight="1">
      <c r="F40" s="153" t="s">
        <v>1446</v>
      </c>
      <c r="G40" s="763" t="s">
        <v>2036</v>
      </c>
      <c r="H40" s="391">
        <f t="shared" si="1"/>
        <v>0</v>
      </c>
      <c r="I40" s="761"/>
      <c r="J40" s="265"/>
      <c r="K40" s="760"/>
    </row>
    <row r="41" spans="6:11" ht="11.25" customHeight="1">
      <c r="F41" s="153" t="s">
        <v>2037</v>
      </c>
      <c r="G41" s="763" t="s">
        <v>1167</v>
      </c>
      <c r="H41" s="391">
        <f t="shared" si="1"/>
        <v>0</v>
      </c>
      <c r="I41" s="761"/>
      <c r="J41" s="265"/>
      <c r="K41" s="760"/>
    </row>
    <row r="42" spans="6:11" ht="11.25" customHeight="1">
      <c r="F42" s="153" t="s">
        <v>2038</v>
      </c>
      <c r="G42" s="763" t="s">
        <v>2039</v>
      </c>
      <c r="H42" s="391">
        <f t="shared" si="1"/>
        <v>0</v>
      </c>
      <c r="I42" s="761"/>
      <c r="J42" s="265"/>
      <c r="K42" s="760"/>
    </row>
    <row r="43" spans="6:11" ht="33.75" customHeight="1">
      <c r="F43" s="153" t="s">
        <v>2040</v>
      </c>
      <c r="G43" s="763" t="s">
        <v>2041</v>
      </c>
      <c r="H43" s="391">
        <f t="shared" si="1"/>
        <v>0</v>
      </c>
      <c r="I43" s="761"/>
      <c r="J43" s="265"/>
      <c r="K43" s="760"/>
    </row>
    <row r="44" spans="6:11" ht="11.25" customHeight="1">
      <c r="F44" s="153" t="s">
        <v>626</v>
      </c>
      <c r="G44" s="762" t="s">
        <v>2029</v>
      </c>
      <c r="H44" s="391">
        <f t="shared" si="1"/>
        <v>0</v>
      </c>
      <c r="I44" s="391">
        <f>SUM(I45:I46)</f>
        <v>0</v>
      </c>
      <c r="J44" s="265"/>
      <c r="K44" s="760"/>
    </row>
    <row r="45" spans="6:11" ht="45" customHeight="1">
      <c r="F45" s="153" t="s">
        <v>1448</v>
      </c>
      <c r="G45" s="763" t="s">
        <v>2030</v>
      </c>
      <c r="H45" s="391">
        <f t="shared" si="1"/>
        <v>0</v>
      </c>
      <c r="I45" s="761"/>
      <c r="J45" s="265"/>
      <c r="K45" s="760"/>
    </row>
    <row r="46" spans="6:11" ht="11.25" customHeight="1">
      <c r="F46" s="153" t="s">
        <v>2042</v>
      </c>
      <c r="G46" s="763" t="s">
        <v>2031</v>
      </c>
      <c r="H46" s="391">
        <f t="shared" si="1"/>
        <v>0</v>
      </c>
      <c r="I46" s="761"/>
      <c r="J46" s="265"/>
      <c r="K46" s="760"/>
    </row>
    <row r="47" spans="6:11" ht="11.25" customHeight="1">
      <c r="F47" s="153" t="s">
        <v>1450</v>
      </c>
      <c r="G47" s="762" t="s">
        <v>2043</v>
      </c>
      <c r="H47" s="391">
        <f t="shared" si="1"/>
        <v>0</v>
      </c>
      <c r="I47" s="761"/>
      <c r="J47" s="265"/>
      <c r="K47" s="760"/>
    </row>
    <row r="48" spans="6:11" ht="22.5" customHeight="1">
      <c r="F48" s="153" t="s">
        <v>110</v>
      </c>
      <c r="G48" s="421" t="s">
        <v>2044</v>
      </c>
      <c r="H48" s="391">
        <f t="shared" si="1"/>
        <v>0</v>
      </c>
      <c r="I48" s="391">
        <f>SUM(I49,I54,I57)</f>
        <v>0</v>
      </c>
      <c r="J48" s="265"/>
      <c r="K48" s="760"/>
    </row>
    <row r="49" spans="6:11" ht="11.25" customHeight="1">
      <c r="F49" s="153" t="s">
        <v>505</v>
      </c>
      <c r="G49" s="762" t="s">
        <v>2017</v>
      </c>
      <c r="H49" s="391">
        <f t="shared" si="1"/>
        <v>0</v>
      </c>
      <c r="I49" s="391">
        <f>SUM(I50:I53)</f>
        <v>0</v>
      </c>
      <c r="J49" s="265"/>
      <c r="K49" s="760"/>
    </row>
    <row r="50" spans="6:11" ht="22.5" customHeight="1">
      <c r="F50" s="153" t="s">
        <v>1458</v>
      </c>
      <c r="G50" s="763" t="s">
        <v>2036</v>
      </c>
      <c r="H50" s="391">
        <f t="shared" si="1"/>
        <v>0</v>
      </c>
      <c r="I50" s="761"/>
      <c r="J50" s="265"/>
      <c r="K50" s="760"/>
    </row>
    <row r="51" spans="6:11" ht="11.25" customHeight="1">
      <c r="F51" s="153" t="s">
        <v>1782</v>
      </c>
      <c r="G51" s="763" t="s">
        <v>1167</v>
      </c>
      <c r="H51" s="391">
        <f t="shared" si="1"/>
        <v>0</v>
      </c>
      <c r="I51" s="761"/>
      <c r="J51" s="265"/>
      <c r="K51" s="760"/>
    </row>
    <row r="52" spans="6:11" ht="11.25" customHeight="1">
      <c r="F52" s="153" t="s">
        <v>2045</v>
      </c>
      <c r="G52" s="763" t="s">
        <v>2039</v>
      </c>
      <c r="H52" s="391">
        <f t="shared" si="1"/>
        <v>0</v>
      </c>
      <c r="I52" s="761"/>
      <c r="J52" s="265"/>
      <c r="K52" s="760"/>
    </row>
    <row r="53" spans="6:11" ht="33.75" customHeight="1">
      <c r="F53" s="153" t="s">
        <v>2046</v>
      </c>
      <c r="G53" s="763" t="s">
        <v>2041</v>
      </c>
      <c r="H53" s="391">
        <f t="shared" si="1"/>
        <v>0</v>
      </c>
      <c r="I53" s="761"/>
      <c r="J53" s="265"/>
      <c r="K53" s="760"/>
    </row>
    <row r="54" spans="6:11" ht="11.25" customHeight="1">
      <c r="F54" s="153" t="s">
        <v>299</v>
      </c>
      <c r="G54" s="762" t="s">
        <v>2029</v>
      </c>
      <c r="H54" s="391">
        <f t="shared" si="1"/>
        <v>0</v>
      </c>
      <c r="I54" s="391">
        <f>SUM(I55:I56)</f>
        <v>0</v>
      </c>
      <c r="J54" s="265"/>
      <c r="K54" s="760"/>
    </row>
    <row r="55" spans="6:11" ht="45" customHeight="1">
      <c r="F55" s="153" t="s">
        <v>520</v>
      </c>
      <c r="G55" s="763" t="s">
        <v>2030</v>
      </c>
      <c r="H55" s="391">
        <f t="shared" si="1"/>
        <v>0</v>
      </c>
      <c r="I55" s="761"/>
      <c r="J55" s="265"/>
      <c r="K55" s="760"/>
    </row>
    <row r="56" spans="6:11" ht="11.25" customHeight="1">
      <c r="F56" s="153" t="s">
        <v>525</v>
      </c>
      <c r="G56" s="763" t="s">
        <v>2031</v>
      </c>
      <c r="H56" s="391">
        <f t="shared" si="1"/>
        <v>0</v>
      </c>
      <c r="I56" s="761"/>
      <c r="J56" s="265"/>
      <c r="K56" s="760"/>
    </row>
    <row r="57" spans="6:11" ht="11.25" customHeight="1">
      <c r="F57" s="153" t="s">
        <v>302</v>
      </c>
      <c r="G57" s="762" t="s">
        <v>2043</v>
      </c>
      <c r="H57" s="391">
        <f t="shared" si="1"/>
        <v>0</v>
      </c>
      <c r="I57" s="761"/>
      <c r="J57" s="265"/>
      <c r="K57" s="760"/>
    </row>
    <row r="58" spans="6:11" ht="11.25" customHeight="1">
      <c r="F58" s="153"/>
      <c r="G58" s="548" t="s">
        <v>2033</v>
      </c>
      <c r="H58" s="391">
        <f t="shared" si="1"/>
        <v>0</v>
      </c>
      <c r="I58" s="391">
        <f>SUM(I38,I48)</f>
        <v>0</v>
      </c>
      <c r="J58" s="265"/>
      <c r="K58" s="760"/>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E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A96CF7-FF7D-663B-2A9C-2FF8C6C2F7D8}">
  <sheetPr>
    <tabColor theme="9" tint="-0.249977111117893"/>
  </sheetPr>
  <dimension ref="A1:GB24"/>
  <sheetViews>
    <sheetView showGridLines="0" topLeftCell="E4" zoomScale="90" workbookViewId="0"/>
  </sheetViews>
  <sheetFormatPr defaultColWidth="9.140625" defaultRowHeight="12" customHeight="1"/>
  <cols>
    <col min="1" max="1" width="4.7109375" style="575" hidden="1" customWidth="1"/>
    <col min="2" max="2" width="4.7109375" style="576" hidden="1" customWidth="1"/>
    <col min="3" max="4" width="4.7109375" style="575" hidden="1" customWidth="1"/>
    <col min="5" max="5" width="3.5703125" style="575" customWidth="1"/>
    <col min="6" max="6" width="6.7109375" style="575" customWidth="1"/>
    <col min="7" max="7" width="18.7109375" style="575" customWidth="1"/>
    <col min="8" max="8" width="27.28515625" style="575" customWidth="1"/>
    <col min="9" max="9" width="18.7109375" style="575" customWidth="1"/>
    <col min="10" max="14" width="0.85546875" style="575" hidden="1" customWidth="1"/>
    <col min="15" max="28" width="21.7109375" style="575" customWidth="1"/>
    <col min="29" max="71" width="0.85546875" style="575" customWidth="1"/>
    <col min="72" max="79" width="21.7109375" style="575" hidden="1" customWidth="1"/>
    <col min="80" max="81" width="29.140625" style="575" hidden="1" customWidth="1"/>
    <col min="82" max="89" width="21.7109375" style="575" hidden="1" customWidth="1"/>
    <col min="90" max="102" width="0.7109375" style="575" hidden="1" customWidth="1"/>
    <col min="103" max="114" width="21.7109375" style="575" hidden="1" customWidth="1"/>
    <col min="115" max="178" width="0.7109375" style="575" hidden="1" customWidth="1"/>
    <col min="179" max="179" width="0.140625" style="575" customWidth="1"/>
    <col min="180" max="184" width="9.140625" style="575"/>
  </cols>
  <sheetData>
    <row r="1" spans="2:180" s="573" customFormat="1" ht="12" hidden="1" customHeight="1">
      <c r="B1" s="574"/>
    </row>
    <row r="2" spans="2:180" s="573" customFormat="1" ht="12" hidden="1" customHeight="1">
      <c r="B2" s="574"/>
    </row>
    <row r="3" spans="2:180" s="573" customFormat="1" ht="12" hidden="1" customHeight="1">
      <c r="B3" s="574"/>
    </row>
    <row r="4" spans="2:180" ht="10.5" customHeight="1">
      <c r="H4" s="67"/>
      <c r="I4" s="67"/>
      <c r="J4" s="67"/>
      <c r="K4" s="67"/>
      <c r="L4" s="67"/>
    </row>
    <row r="5" spans="2:180" s="214" customFormat="1" ht="24" customHeight="1">
      <c r="B5" s="382"/>
      <c r="E5" s="530"/>
      <c r="F5" s="1116" t="str">
        <f>"Информация о реализации инвестиционных программ и показатели качества, надежности и энергетической эффективности в сфере "&amp;TEMPLATE_SPHERE_RUS&amp;" на "&amp;TITLE_FIL_YEAR&amp;" год"</f>
        <v>Информация о реализации инвестиционных программ и показатели качества, надежности и энергетической эффективности в сфере теплоснабжения на 2023 год</v>
      </c>
      <c r="G5" s="1117"/>
      <c r="H5" s="1117"/>
      <c r="I5" s="1117"/>
      <c r="J5" s="1117"/>
      <c r="K5" s="1117"/>
      <c r="L5" s="1117"/>
      <c r="M5" s="1117"/>
      <c r="N5" s="1117"/>
      <c r="O5" s="1117"/>
      <c r="P5" s="1117"/>
      <c r="Q5" s="1117"/>
      <c r="R5" s="1117"/>
      <c r="S5" s="1117"/>
      <c r="T5" s="1117"/>
      <c r="U5" s="1117"/>
      <c r="V5" s="1117"/>
      <c r="W5" s="1117"/>
      <c r="X5" s="1117"/>
      <c r="Y5" s="1117"/>
      <c r="Z5" s="1117"/>
      <c r="AA5" s="1117"/>
      <c r="AB5" s="1117"/>
      <c r="AC5" s="1117"/>
      <c r="AD5" s="1117"/>
      <c r="AE5" s="1117"/>
      <c r="AF5" s="1117"/>
      <c r="AG5" s="1117"/>
      <c r="AH5" s="1117"/>
      <c r="AI5" s="1117"/>
      <c r="AJ5" s="1117"/>
      <c r="AK5" s="1117"/>
      <c r="AL5" s="1117"/>
      <c r="AM5" s="1117"/>
      <c r="AN5" s="1117"/>
      <c r="AO5" s="1117"/>
      <c r="AP5" s="1117"/>
      <c r="AQ5" s="1117"/>
      <c r="AR5" s="1117"/>
      <c r="AS5" s="1117"/>
      <c r="AT5" s="1117"/>
      <c r="AU5" s="1117"/>
      <c r="AV5" s="1117"/>
      <c r="AW5" s="1117"/>
      <c r="AX5" s="1117"/>
      <c r="AY5" s="1117"/>
      <c r="AZ5" s="1117"/>
      <c r="BA5" s="1117"/>
      <c r="BB5" s="1117"/>
      <c r="BC5" s="1117"/>
      <c r="BD5" s="1117"/>
      <c r="BE5" s="1117"/>
      <c r="BF5" s="1117"/>
      <c r="BG5" s="1117"/>
      <c r="BH5" s="1117"/>
      <c r="BI5" s="1117"/>
      <c r="BJ5" s="1117"/>
      <c r="BK5" s="1117"/>
      <c r="BL5" s="1117"/>
      <c r="BM5" s="1117"/>
      <c r="BN5" s="1117"/>
      <c r="BO5" s="1117"/>
      <c r="BP5" s="1117"/>
      <c r="BQ5" s="1117"/>
      <c r="BR5" s="1117"/>
      <c r="BS5" s="1117"/>
    </row>
    <row r="6" spans="2:180" s="214" customFormat="1" ht="18" customHeight="1">
      <c r="B6" s="382"/>
      <c r="E6" s="530"/>
      <c r="F6" s="1228" t="str">
        <f>IF(org=0,"Не определено",org)</f>
        <v>ООО "ТЕПЛО ПЛЮС"</v>
      </c>
      <c r="G6" s="1229"/>
      <c r="H6" s="1229"/>
      <c r="I6" s="1229"/>
      <c r="J6" s="1229"/>
      <c r="K6" s="1229"/>
      <c r="L6" s="1229"/>
      <c r="M6" s="1229"/>
      <c r="N6" s="1229"/>
      <c r="O6" s="1229"/>
      <c r="P6" s="1229"/>
      <c r="Q6" s="1229"/>
      <c r="R6" s="1229"/>
      <c r="S6" s="1229"/>
      <c r="T6" s="1229"/>
      <c r="U6" s="1229"/>
      <c r="V6" s="1229"/>
      <c r="W6" s="1229"/>
      <c r="X6" s="1229"/>
      <c r="Y6" s="1229"/>
      <c r="Z6" s="1229"/>
      <c r="AA6" s="1229"/>
      <c r="AB6" s="1229"/>
      <c r="AC6" s="1229"/>
      <c r="AD6" s="1229"/>
      <c r="AE6" s="1229"/>
      <c r="AF6" s="1229"/>
      <c r="AG6" s="1229"/>
      <c r="AH6" s="1229"/>
      <c r="AI6" s="1229"/>
      <c r="AJ6" s="1229"/>
      <c r="AK6" s="1229"/>
      <c r="AL6" s="1229"/>
      <c r="AM6" s="1229"/>
      <c r="AN6" s="1229"/>
      <c r="AO6" s="1229"/>
      <c r="AP6" s="1229"/>
      <c r="AQ6" s="1229"/>
      <c r="AR6" s="1229"/>
      <c r="AS6" s="1229"/>
      <c r="AT6" s="1229"/>
      <c r="AU6" s="1229"/>
      <c r="AV6" s="1229"/>
      <c r="AW6" s="1229"/>
      <c r="AX6" s="1229"/>
      <c r="AY6" s="1229"/>
      <c r="AZ6" s="1229"/>
      <c r="BA6" s="1229"/>
      <c r="BB6" s="1229"/>
      <c r="BC6" s="1229"/>
      <c r="BD6" s="1229"/>
      <c r="BE6" s="1229"/>
      <c r="BF6" s="1229"/>
      <c r="BG6" s="1229"/>
      <c r="BH6" s="1229"/>
      <c r="BI6" s="1229"/>
      <c r="BJ6" s="1229"/>
      <c r="BK6" s="1229"/>
      <c r="BL6" s="1229"/>
      <c r="BM6" s="1229"/>
      <c r="BN6" s="1229"/>
      <c r="BO6" s="1229"/>
      <c r="BP6" s="1229"/>
      <c r="BQ6" s="1229"/>
      <c r="BR6" s="1229"/>
      <c r="BS6" s="1229"/>
    </row>
    <row r="7" spans="2:180" s="577" customFormat="1" ht="10.5" customHeight="1">
      <c r="B7" s="578"/>
      <c r="G7" s="579"/>
      <c r="H7" s="67"/>
      <c r="I7" s="67"/>
      <c r="J7" s="67"/>
      <c r="K7" s="67"/>
      <c r="L7" s="67"/>
    </row>
    <row r="8" spans="2:180" s="577" customFormat="1" ht="11.25" hidden="1" customHeight="1">
      <c r="B8" s="578"/>
      <c r="F8" s="214"/>
      <c r="G8" s="68"/>
      <c r="H8" s="43"/>
      <c r="I8" s="43"/>
      <c r="J8" s="43"/>
      <c r="K8" s="43"/>
      <c r="L8" s="43"/>
      <c r="M8" s="214"/>
      <c r="N8" s="214"/>
      <c r="O8" s="1486" t="s">
        <v>2047</v>
      </c>
      <c r="P8" s="1487"/>
      <c r="Q8" s="1487"/>
      <c r="R8" s="1487"/>
      <c r="S8" s="1487"/>
      <c r="T8" s="1487"/>
      <c r="U8" s="1487"/>
      <c r="V8" s="1487"/>
      <c r="W8" s="1487"/>
      <c r="X8" s="1487"/>
      <c r="Y8" s="1487"/>
      <c r="Z8" s="1487"/>
      <c r="AA8" s="1487"/>
      <c r="AB8" s="1487"/>
      <c r="AC8" s="1487"/>
      <c r="AD8" s="1487"/>
      <c r="AE8" s="1487"/>
      <c r="AF8" s="1487"/>
      <c r="AG8" s="1487"/>
      <c r="AH8" s="1487"/>
      <c r="AI8" s="1487"/>
      <c r="AJ8" s="1487"/>
      <c r="AK8" s="1487"/>
      <c r="AL8" s="1487"/>
      <c r="AM8" s="1487"/>
      <c r="AN8" s="1487"/>
      <c r="AO8" s="1487"/>
      <c r="AP8" s="1487"/>
      <c r="AQ8" s="1487"/>
      <c r="AR8" s="1487"/>
      <c r="AS8" s="1487"/>
      <c r="AT8" s="1487"/>
      <c r="AU8" s="1487"/>
      <c r="AV8" s="1487"/>
      <c r="AW8" s="1487"/>
      <c r="AX8" s="1487"/>
      <c r="AY8" s="1487"/>
      <c r="AZ8" s="1487"/>
      <c r="BA8" s="1487"/>
      <c r="BB8" s="1487"/>
      <c r="BC8" s="1487"/>
      <c r="BD8" s="1487"/>
      <c r="BE8" s="1487"/>
      <c r="BF8" s="1487"/>
      <c r="BG8" s="1487"/>
      <c r="BH8" s="1487"/>
      <c r="BI8" s="1487"/>
      <c r="BJ8" s="1487"/>
      <c r="BK8" s="1487"/>
      <c r="BL8" s="1487"/>
      <c r="BM8" s="1487"/>
      <c r="BN8" s="1487"/>
      <c r="BO8" s="1487"/>
      <c r="BP8" s="1487"/>
      <c r="BQ8" s="1487"/>
      <c r="BR8" s="1487"/>
      <c r="BS8" s="1488"/>
      <c r="BT8" s="1489"/>
      <c r="BU8" s="1490"/>
      <c r="BV8" s="1490"/>
      <c r="BW8" s="1490"/>
      <c r="BX8" s="1490"/>
      <c r="BY8" s="1490"/>
      <c r="BZ8" s="1490"/>
      <c r="CA8" s="1490"/>
      <c r="CB8" s="1490"/>
      <c r="CC8" s="1490"/>
      <c r="CD8" s="1490"/>
      <c r="CE8" s="1490"/>
      <c r="CF8" s="1490"/>
      <c r="CG8" s="1490"/>
      <c r="CH8" s="1490"/>
      <c r="CI8" s="1490"/>
      <c r="CJ8" s="1490"/>
      <c r="CK8" s="1490"/>
      <c r="CL8" s="1490"/>
      <c r="CM8" s="1490"/>
      <c r="CN8" s="1490"/>
      <c r="CO8" s="1490"/>
      <c r="CP8" s="1490"/>
      <c r="CQ8" s="1490"/>
      <c r="CR8" s="1490"/>
      <c r="CS8" s="1490"/>
      <c r="CT8" s="1490"/>
      <c r="CU8" s="1490"/>
      <c r="CV8" s="1490"/>
      <c r="CW8" s="1490"/>
      <c r="CX8" s="1491"/>
      <c r="CY8" s="1492"/>
      <c r="CZ8" s="1493"/>
      <c r="DA8" s="1493"/>
      <c r="DB8" s="1493"/>
      <c r="DC8" s="1493"/>
      <c r="DD8" s="1493"/>
      <c r="DE8" s="1493"/>
      <c r="DF8" s="1493"/>
      <c r="DG8" s="1493"/>
      <c r="DH8" s="1493"/>
      <c r="DI8" s="1493"/>
      <c r="DJ8" s="1493"/>
      <c r="DK8" s="1493"/>
      <c r="DL8" s="1493"/>
      <c r="DM8" s="1493"/>
      <c r="DN8" s="1493"/>
      <c r="DO8" s="1493"/>
      <c r="DP8" s="1493"/>
      <c r="DQ8" s="1493"/>
      <c r="DR8" s="1493"/>
      <c r="DS8" s="1493"/>
      <c r="DT8" s="1493"/>
      <c r="DU8" s="1493"/>
      <c r="DV8" s="1493"/>
      <c r="DW8" s="1493"/>
      <c r="DX8" s="1494"/>
      <c r="DY8" s="1480" t="s">
        <v>2048</v>
      </c>
      <c r="DZ8" s="1481"/>
      <c r="EA8" s="1481"/>
      <c r="EB8" s="1481"/>
      <c r="EC8" s="1481"/>
      <c r="ED8" s="1481"/>
      <c r="EE8" s="1481"/>
      <c r="EF8" s="1481"/>
      <c r="EG8" s="1481"/>
      <c r="EH8" s="1481"/>
      <c r="EI8" s="1481"/>
      <c r="EJ8" s="1481"/>
      <c r="EK8" s="1481"/>
      <c r="EL8" s="1481"/>
      <c r="EM8" s="1481"/>
      <c r="EN8" s="1481"/>
      <c r="EO8" s="1481"/>
      <c r="EP8" s="1481"/>
      <c r="EQ8" s="1481"/>
      <c r="ER8" s="1481"/>
      <c r="ES8" s="1481"/>
      <c r="ET8" s="1481"/>
      <c r="EU8" s="1481"/>
      <c r="EV8" s="1481"/>
      <c r="EW8" s="1481"/>
      <c r="EX8" s="1481"/>
      <c r="EY8" s="1481"/>
      <c r="EZ8" s="1481"/>
      <c r="FA8" s="1481"/>
      <c r="FB8" s="1481"/>
      <c r="FC8" s="1481"/>
      <c r="FD8" s="1481"/>
      <c r="FE8" s="1481"/>
      <c r="FF8" s="1481"/>
      <c r="FG8" s="1481"/>
      <c r="FH8" s="1481"/>
      <c r="FI8" s="1481"/>
      <c r="FJ8" s="1481"/>
      <c r="FK8" s="1481"/>
      <c r="FL8" s="1481"/>
      <c r="FM8" s="1481"/>
      <c r="FN8" s="1481"/>
      <c r="FO8" s="1481"/>
      <c r="FP8" s="1481"/>
      <c r="FQ8" s="1481"/>
      <c r="FR8" s="1481"/>
      <c r="FS8" s="1481"/>
      <c r="FT8" s="1481"/>
      <c r="FU8" s="1481"/>
      <c r="FV8" s="1481"/>
      <c r="FW8" s="1482"/>
      <c r="FX8" s="214"/>
    </row>
    <row r="9" spans="2:180" s="577" customFormat="1" ht="11.25" hidden="1" customHeight="1">
      <c r="B9" s="578"/>
      <c r="F9" s="214"/>
      <c r="G9" s="68"/>
      <c r="H9" s="43"/>
      <c r="I9" s="43"/>
      <c r="J9" s="43"/>
      <c r="K9" s="43"/>
      <c r="L9" s="43"/>
      <c r="M9" s="214"/>
      <c r="N9" s="214"/>
      <c r="O9" s="214"/>
      <c r="P9" s="214"/>
      <c r="Q9" s="214"/>
      <c r="R9" s="214"/>
      <c r="S9" s="214"/>
      <c r="T9" s="214"/>
      <c r="U9" s="214"/>
      <c r="V9" s="214"/>
      <c r="W9" s="214"/>
      <c r="X9" s="214"/>
      <c r="Y9" s="214"/>
      <c r="Z9" s="214"/>
      <c r="AA9" s="214"/>
      <c r="AB9" s="214"/>
      <c r="AC9" s="214"/>
      <c r="AD9" s="214"/>
      <c r="AE9" s="214"/>
      <c r="AF9" s="214"/>
      <c r="AG9" s="214"/>
      <c r="AH9" s="214"/>
      <c r="AI9" s="214"/>
      <c r="AJ9" s="214"/>
      <c r="AK9" s="214"/>
      <c r="AL9" s="214"/>
      <c r="AM9" s="214"/>
      <c r="AN9" s="214"/>
      <c r="AO9" s="214"/>
      <c r="AP9" s="214"/>
      <c r="AQ9" s="214"/>
      <c r="AR9" s="214"/>
      <c r="AS9" s="214"/>
      <c r="AT9" s="214"/>
      <c r="AU9" s="214"/>
      <c r="AV9" s="214"/>
      <c r="AW9" s="214"/>
      <c r="AX9" s="214"/>
      <c r="AY9" s="214"/>
      <c r="AZ9" s="214"/>
      <c r="BA9" s="214"/>
      <c r="BB9" s="214"/>
      <c r="BC9" s="214"/>
      <c r="BD9" s="214"/>
      <c r="BE9" s="214"/>
      <c r="BF9" s="214"/>
      <c r="BG9" s="214"/>
      <c r="BH9" s="214"/>
      <c r="BI9" s="214"/>
      <c r="BJ9" s="214"/>
      <c r="BK9" s="214"/>
      <c r="BL9" s="214"/>
      <c r="BM9" s="214"/>
      <c r="BN9" s="214"/>
      <c r="BO9" s="214"/>
      <c r="BP9" s="214"/>
      <c r="BQ9" s="214"/>
      <c r="BR9" s="214"/>
      <c r="BS9" s="214"/>
      <c r="BT9" s="214"/>
      <c r="BU9" s="214"/>
      <c r="BV9" s="214"/>
      <c r="BW9" s="214"/>
      <c r="BX9" s="214"/>
      <c r="BY9" s="214"/>
      <c r="BZ9" s="214"/>
      <c r="CA9" s="214"/>
      <c r="CB9" s="214"/>
      <c r="CC9" s="214"/>
      <c r="CD9" s="214"/>
      <c r="CE9" s="214"/>
      <c r="CF9" s="214"/>
      <c r="CG9" s="214"/>
      <c r="CH9" s="214"/>
      <c r="CI9" s="214"/>
      <c r="CJ9" s="214"/>
      <c r="CK9" s="214"/>
      <c r="CL9" s="214"/>
      <c r="CM9" s="214"/>
      <c r="CN9" s="214"/>
      <c r="CO9" s="214"/>
      <c r="CP9" s="214"/>
      <c r="CQ9" s="214"/>
      <c r="CR9" s="214"/>
      <c r="CS9" s="214"/>
      <c r="CT9" s="214"/>
      <c r="CU9" s="214"/>
      <c r="CV9" s="214"/>
      <c r="CW9" s="214"/>
      <c r="CX9" s="214"/>
      <c r="CY9" s="214"/>
      <c r="CZ9" s="214"/>
      <c r="DA9" s="214"/>
      <c r="DB9" s="214"/>
      <c r="DC9" s="214"/>
      <c r="DD9" s="214"/>
      <c r="DE9" s="214"/>
      <c r="DF9" s="214"/>
      <c r="DG9" s="214"/>
      <c r="DH9" s="214"/>
      <c r="DI9" s="214"/>
      <c r="DJ9" s="214"/>
      <c r="DK9" s="214"/>
      <c r="DL9" s="214"/>
      <c r="DM9" s="214"/>
      <c r="DN9" s="214"/>
      <c r="DO9" s="214"/>
      <c r="DP9" s="214"/>
      <c r="DQ9" s="214"/>
      <c r="DR9" s="214"/>
      <c r="DS9" s="214"/>
      <c r="DT9" s="214"/>
      <c r="DU9" s="214"/>
      <c r="DV9" s="214"/>
      <c r="DW9" s="214"/>
      <c r="DX9" s="214"/>
      <c r="DY9" s="214"/>
      <c r="DZ9" s="214"/>
      <c r="EA9" s="214"/>
      <c r="EB9" s="214"/>
      <c r="EC9" s="214"/>
      <c r="ED9" s="214"/>
      <c r="EE9" s="214"/>
      <c r="EF9" s="214"/>
      <c r="EG9" s="214"/>
      <c r="EH9" s="214"/>
      <c r="EI9" s="214"/>
      <c r="EJ9" s="214"/>
      <c r="EK9" s="214"/>
      <c r="EL9" s="214"/>
      <c r="EM9" s="214"/>
      <c r="EN9" s="214"/>
      <c r="EO9" s="214"/>
      <c r="EP9" s="214"/>
      <c r="EQ9" s="214"/>
      <c r="ER9" s="214"/>
      <c r="ES9" s="214"/>
      <c r="ET9" s="214"/>
      <c r="EU9" s="214"/>
      <c r="EV9" s="214"/>
      <c r="EW9" s="214"/>
      <c r="EX9" s="214"/>
      <c r="EY9" s="214"/>
      <c r="EZ9" s="214"/>
      <c r="FA9" s="214"/>
      <c r="FB9" s="214"/>
      <c r="FC9" s="214"/>
      <c r="FD9" s="214"/>
      <c r="FE9" s="214"/>
      <c r="FF9" s="214"/>
      <c r="FG9" s="214"/>
      <c r="FH9" s="214"/>
      <c r="FI9" s="214"/>
      <c r="FJ9" s="214"/>
      <c r="FK9" s="214"/>
      <c r="FL9" s="214"/>
      <c r="FM9" s="214"/>
      <c r="FN9" s="214"/>
      <c r="FO9" s="214"/>
      <c r="FP9" s="214"/>
      <c r="FQ9" s="214"/>
      <c r="FR9" s="214"/>
      <c r="FS9" s="214"/>
      <c r="FT9" s="214"/>
      <c r="FU9" s="214"/>
      <c r="FV9" s="214"/>
      <c r="FW9" s="1483"/>
      <c r="FX9" s="214"/>
    </row>
    <row r="10" spans="2:180" s="577" customFormat="1" ht="11.25" customHeight="1">
      <c r="B10" s="578"/>
      <c r="F10" s="1457" t="s">
        <v>292</v>
      </c>
      <c r="G10" s="1496"/>
      <c r="H10" s="1496"/>
      <c r="I10" s="1496"/>
      <c r="J10" s="1496"/>
      <c r="K10" s="1496"/>
      <c r="L10" s="1496"/>
      <c r="M10" s="1496"/>
      <c r="N10" s="1496"/>
      <c r="O10" s="1496"/>
      <c r="P10" s="1496"/>
      <c r="Q10" s="1496"/>
      <c r="R10" s="1496"/>
      <c r="S10" s="1496"/>
      <c r="T10" s="1496"/>
      <c r="U10" s="1496"/>
      <c r="V10" s="1496"/>
      <c r="W10" s="1496"/>
      <c r="X10" s="1496"/>
      <c r="Y10" s="1496"/>
      <c r="Z10" s="1496"/>
      <c r="AA10" s="1496"/>
      <c r="AB10" s="1496"/>
      <c r="AC10" s="1496"/>
      <c r="AD10" s="1496"/>
      <c r="AE10" s="1496"/>
      <c r="AF10" s="1496"/>
      <c r="AG10" s="1496"/>
      <c r="AH10" s="1496"/>
      <c r="AI10" s="1496"/>
      <c r="AJ10" s="1496"/>
      <c r="AK10" s="1496"/>
      <c r="AL10" s="1496"/>
      <c r="AM10" s="1496"/>
      <c r="AN10" s="1496"/>
      <c r="AO10" s="1496"/>
      <c r="AP10" s="1496"/>
      <c r="AQ10" s="1496"/>
      <c r="AR10" s="1496"/>
      <c r="AS10" s="1496"/>
      <c r="AT10" s="1496"/>
      <c r="AU10" s="1496"/>
      <c r="AV10" s="1496"/>
      <c r="AW10" s="1496"/>
      <c r="AX10" s="1496"/>
      <c r="AY10" s="1496"/>
      <c r="AZ10" s="1496"/>
      <c r="BA10" s="1496"/>
      <c r="BB10" s="1496"/>
      <c r="BC10" s="1496"/>
      <c r="BD10" s="1496"/>
      <c r="BE10" s="1496"/>
      <c r="BF10" s="1496"/>
      <c r="BG10" s="1496"/>
      <c r="BH10" s="1496"/>
      <c r="BI10" s="1496"/>
      <c r="BJ10" s="1496"/>
      <c r="BK10" s="1496"/>
      <c r="BL10" s="1496"/>
      <c r="BM10" s="1496"/>
      <c r="BN10" s="1496"/>
      <c r="BO10" s="1496"/>
      <c r="BP10" s="1496"/>
      <c r="BQ10" s="1496"/>
      <c r="BR10" s="1496"/>
      <c r="BS10" s="1496"/>
      <c r="BT10" s="1496"/>
      <c r="BU10" s="1496"/>
      <c r="BV10" s="1496"/>
      <c r="BW10" s="1496"/>
      <c r="BX10" s="1496"/>
      <c r="BY10" s="1496"/>
      <c r="BZ10" s="1496"/>
      <c r="CA10" s="1496"/>
      <c r="CB10" s="1496"/>
      <c r="CC10" s="1496"/>
      <c r="CD10" s="1496"/>
      <c r="CE10" s="1496"/>
      <c r="CF10" s="1496"/>
      <c r="CG10" s="1496"/>
      <c r="CH10" s="1496"/>
      <c r="CI10" s="1496"/>
      <c r="CJ10" s="1496"/>
      <c r="CK10" s="1496"/>
      <c r="CL10" s="1496"/>
      <c r="CM10" s="1496"/>
      <c r="CN10" s="1496"/>
      <c r="CO10" s="1496"/>
      <c r="CP10" s="1496"/>
      <c r="CQ10" s="1496"/>
      <c r="CR10" s="1496"/>
      <c r="CS10" s="1496"/>
      <c r="CT10" s="1496"/>
      <c r="CU10" s="1496"/>
      <c r="CV10" s="1496"/>
      <c r="CW10" s="1496"/>
      <c r="CX10" s="1496"/>
      <c r="CY10" s="1496"/>
      <c r="CZ10" s="1496"/>
      <c r="DA10" s="1496"/>
      <c r="DB10" s="1496"/>
      <c r="DC10" s="1496"/>
      <c r="DD10" s="1496"/>
      <c r="DE10" s="1496"/>
      <c r="DF10" s="1496"/>
      <c r="DG10" s="1496"/>
      <c r="DH10" s="1496"/>
      <c r="DI10" s="1496"/>
      <c r="DJ10" s="1496"/>
      <c r="DK10" s="1496"/>
      <c r="DL10" s="1496"/>
      <c r="DM10" s="1496"/>
      <c r="DN10" s="1496"/>
      <c r="DO10" s="1496"/>
      <c r="DP10" s="1496"/>
      <c r="DQ10" s="1496"/>
      <c r="DR10" s="1496"/>
      <c r="DS10" s="1496"/>
      <c r="DT10" s="1496"/>
      <c r="DU10" s="1496"/>
      <c r="DV10" s="1496"/>
      <c r="DW10" s="1496"/>
      <c r="DX10" s="1496"/>
      <c r="DY10" s="1496"/>
      <c r="DZ10" s="1496"/>
      <c r="EA10" s="1496"/>
      <c r="EB10" s="1496"/>
      <c r="EC10" s="1496"/>
      <c r="ED10" s="1496"/>
      <c r="EE10" s="1496"/>
      <c r="EF10" s="1496"/>
      <c r="EG10" s="1496"/>
      <c r="EH10" s="1496"/>
      <c r="EI10" s="1496"/>
      <c r="EJ10" s="1496"/>
      <c r="EK10" s="1496"/>
      <c r="EL10" s="1496"/>
      <c r="EM10" s="1496"/>
      <c r="EN10" s="1496"/>
      <c r="EO10" s="1496"/>
      <c r="EP10" s="1496"/>
      <c r="EQ10" s="1496"/>
      <c r="ER10" s="1496"/>
      <c r="ES10" s="1496"/>
      <c r="ET10" s="1496"/>
      <c r="EU10" s="1496"/>
      <c r="EV10" s="1496"/>
      <c r="EW10" s="1496"/>
      <c r="EX10" s="1496"/>
      <c r="EY10" s="1496"/>
      <c r="EZ10" s="1496"/>
      <c r="FA10" s="1496"/>
      <c r="FB10" s="1496"/>
      <c r="FC10" s="1496"/>
      <c r="FD10" s="1496"/>
      <c r="FE10" s="1496"/>
      <c r="FF10" s="1496"/>
      <c r="FG10" s="1496"/>
      <c r="FH10" s="1496"/>
      <c r="FI10" s="1496"/>
      <c r="FJ10" s="1496"/>
      <c r="FK10" s="1496"/>
      <c r="FL10" s="1496"/>
      <c r="FM10" s="1496"/>
      <c r="FN10" s="1496"/>
      <c r="FO10" s="1496"/>
      <c r="FP10" s="1496"/>
      <c r="FQ10" s="1496"/>
      <c r="FR10" s="1496"/>
      <c r="FS10" s="1496"/>
      <c r="FT10" s="1496"/>
      <c r="FU10" s="1496"/>
      <c r="FV10" s="1262"/>
      <c r="FW10" s="1483"/>
      <c r="FX10" s="214"/>
    </row>
    <row r="11" spans="2:180" ht="12" customHeight="1">
      <c r="E11" s="580"/>
      <c r="F11" s="1383" t="s">
        <v>88</v>
      </c>
      <c r="G11" s="1383" t="s">
        <v>2049</v>
      </c>
      <c r="H11" s="1383" t="s">
        <v>2050</v>
      </c>
      <c r="I11" s="1383" t="s">
        <v>2051</v>
      </c>
      <c r="J11" s="1495"/>
      <c r="K11" s="1495"/>
      <c r="L11" s="1495"/>
      <c r="M11" s="1495"/>
      <c r="N11" s="1495"/>
      <c r="O11" s="1213" t="s">
        <v>2052</v>
      </c>
      <c r="P11" s="1213"/>
      <c r="Q11" s="1213"/>
      <c r="R11" s="1213"/>
      <c r="S11" s="1213"/>
      <c r="T11" s="1213"/>
      <c r="U11" s="1213"/>
      <c r="V11" s="1213"/>
      <c r="W11" s="1213"/>
      <c r="X11" s="1213"/>
      <c r="Y11" s="1213"/>
      <c r="Z11" s="1213"/>
      <c r="AA11" s="1213"/>
      <c r="AB11" s="1213"/>
      <c r="AC11" s="1478"/>
      <c r="AD11" s="1478"/>
      <c r="AE11" s="1478"/>
      <c r="AF11" s="1478"/>
      <c r="AG11" s="1478"/>
      <c r="AH11" s="1478"/>
      <c r="AI11" s="1478"/>
      <c r="AJ11" s="1478"/>
      <c r="AK11" s="1478"/>
      <c r="AL11" s="1478"/>
      <c r="AM11" s="1478"/>
      <c r="AN11" s="1478"/>
      <c r="AO11" s="1478"/>
      <c r="AP11" s="1478"/>
      <c r="AQ11" s="1478"/>
      <c r="AR11" s="1478"/>
      <c r="AS11" s="1478"/>
      <c r="AT11" s="1478"/>
      <c r="AU11" s="1478"/>
      <c r="AV11" s="1478"/>
      <c r="AW11" s="1478"/>
      <c r="AX11" s="1478"/>
      <c r="AY11" s="1478"/>
      <c r="AZ11" s="1478"/>
      <c r="BA11" s="1478"/>
      <c r="BB11" s="1478"/>
      <c r="BC11" s="1478"/>
      <c r="BD11" s="1478"/>
      <c r="BE11" s="1478"/>
      <c r="BF11" s="1478"/>
      <c r="BG11" s="1478"/>
      <c r="BH11" s="1478"/>
      <c r="BI11" s="1478"/>
      <c r="BJ11" s="1478"/>
      <c r="BK11" s="1478"/>
      <c r="BL11" s="1478"/>
      <c r="BM11" s="1478"/>
      <c r="BN11" s="1478"/>
      <c r="BO11" s="1478"/>
      <c r="BP11" s="1478"/>
      <c r="BQ11" s="1478"/>
      <c r="BR11" s="1478"/>
      <c r="BS11" s="1479"/>
      <c r="BT11" s="1418" t="s">
        <v>2052</v>
      </c>
      <c r="BU11" s="1419"/>
      <c r="BV11" s="1419"/>
      <c r="BW11" s="1419"/>
      <c r="BX11" s="1419"/>
      <c r="BY11" s="1419"/>
      <c r="BZ11" s="1419"/>
      <c r="CA11" s="1419"/>
      <c r="CB11" s="1419"/>
      <c r="CC11" s="1419"/>
      <c r="CD11" s="1419"/>
      <c r="CE11" s="1419"/>
      <c r="CF11" s="1419"/>
      <c r="CG11" s="1419"/>
      <c r="CH11" s="1419"/>
      <c r="CI11" s="1419"/>
      <c r="CJ11" s="1419"/>
      <c r="CK11" s="1420"/>
      <c r="CL11" s="1485"/>
      <c r="CM11" s="1478"/>
      <c r="CN11" s="1478"/>
      <c r="CO11" s="1478"/>
      <c r="CP11" s="1478"/>
      <c r="CQ11" s="1478"/>
      <c r="CR11" s="1478"/>
      <c r="CS11" s="1478"/>
      <c r="CT11" s="1478"/>
      <c r="CU11" s="1478"/>
      <c r="CV11" s="1478"/>
      <c r="CW11" s="1478"/>
      <c r="CX11" s="1479"/>
      <c r="CY11" s="1418" t="s">
        <v>2052</v>
      </c>
      <c r="CZ11" s="1419"/>
      <c r="DA11" s="1419"/>
      <c r="DB11" s="1419"/>
      <c r="DC11" s="1419"/>
      <c r="DD11" s="1419"/>
      <c r="DE11" s="1419"/>
      <c r="DF11" s="1419"/>
      <c r="DG11" s="1419"/>
      <c r="DH11" s="1419"/>
      <c r="DI11" s="1419"/>
      <c r="DJ11" s="1420"/>
      <c r="DK11" s="1485"/>
      <c r="DL11" s="1478"/>
      <c r="DM11" s="1478"/>
      <c r="DN11" s="1478"/>
      <c r="DO11" s="1478"/>
      <c r="DP11" s="1478"/>
      <c r="DQ11" s="1478"/>
      <c r="DR11" s="1478"/>
      <c r="DS11" s="1478"/>
      <c r="DT11" s="1478"/>
      <c r="DU11" s="1478"/>
      <c r="DV11" s="1478"/>
      <c r="DW11" s="1478"/>
      <c r="DX11" s="1478"/>
      <c r="DY11" s="1478"/>
      <c r="DZ11" s="1478"/>
      <c r="EA11" s="1478"/>
      <c r="EB11" s="1478"/>
      <c r="EC11" s="1478"/>
      <c r="ED11" s="1478"/>
      <c r="EE11" s="1478"/>
      <c r="EF11" s="1478"/>
      <c r="EG11" s="1478"/>
      <c r="EH11" s="1478"/>
      <c r="EI11" s="1478"/>
      <c r="EJ11" s="1478"/>
      <c r="EK11" s="1478"/>
      <c r="EL11" s="1478"/>
      <c r="EM11" s="1478"/>
      <c r="EN11" s="1478"/>
      <c r="EO11" s="1478"/>
      <c r="EP11" s="1478"/>
      <c r="EQ11" s="1478"/>
      <c r="ER11" s="1478"/>
      <c r="ES11" s="1478"/>
      <c r="ET11" s="1478"/>
      <c r="EU11" s="1478"/>
      <c r="EV11" s="1478"/>
      <c r="EW11" s="1478"/>
      <c r="EX11" s="1478"/>
      <c r="EY11" s="1478"/>
      <c r="EZ11" s="1478"/>
      <c r="FA11" s="1478"/>
      <c r="FB11" s="1478"/>
      <c r="FC11" s="1478"/>
      <c r="FD11" s="1478"/>
      <c r="FE11" s="1478"/>
      <c r="FF11" s="1478"/>
      <c r="FG11" s="1478"/>
      <c r="FH11" s="1478"/>
      <c r="FI11" s="1478"/>
      <c r="FJ11" s="1478"/>
      <c r="FK11" s="1478"/>
      <c r="FL11" s="1478"/>
      <c r="FM11" s="1478"/>
      <c r="FN11" s="1478"/>
      <c r="FO11" s="1478"/>
      <c r="FP11" s="1478"/>
      <c r="FQ11" s="1478"/>
      <c r="FR11" s="1478"/>
      <c r="FS11" s="1478"/>
      <c r="FT11" s="1478"/>
      <c r="FU11" s="1478"/>
      <c r="FV11" s="1478"/>
      <c r="FW11" s="1483"/>
      <c r="FX11" s="42"/>
    </row>
    <row r="12" spans="2:180" ht="12" customHeight="1">
      <c r="D12" s="67"/>
      <c r="E12" s="580"/>
      <c r="F12" s="1383"/>
      <c r="G12" s="1383"/>
      <c r="H12" s="1383"/>
      <c r="I12" s="1383"/>
      <c r="J12" s="1495"/>
      <c r="K12" s="1495"/>
      <c r="L12" s="1495"/>
      <c r="M12" s="1495"/>
      <c r="N12" s="1495"/>
      <c r="O12" s="1213" t="s">
        <v>2053</v>
      </c>
      <c r="P12" s="1213"/>
      <c r="Q12" s="1213"/>
      <c r="R12" s="1213"/>
      <c r="S12" s="1213" t="s">
        <v>2054</v>
      </c>
      <c r="T12" s="1213"/>
      <c r="U12" s="1213"/>
      <c r="V12" s="1213"/>
      <c r="W12" s="1213"/>
      <c r="X12" s="1213"/>
      <c r="Y12" s="1213"/>
      <c r="Z12" s="1213"/>
      <c r="AA12" s="1213"/>
      <c r="AB12" s="1213"/>
      <c r="AC12" s="1478"/>
      <c r="AD12" s="1478"/>
      <c r="AE12" s="1478"/>
      <c r="AF12" s="1478"/>
      <c r="AG12" s="1478"/>
      <c r="AH12" s="1478"/>
      <c r="AI12" s="1478"/>
      <c r="AJ12" s="1478"/>
      <c r="AK12" s="1478"/>
      <c r="AL12" s="1478"/>
      <c r="AM12" s="1478"/>
      <c r="AN12" s="1478"/>
      <c r="AO12" s="1478"/>
      <c r="AP12" s="1478"/>
      <c r="AQ12" s="1478"/>
      <c r="AR12" s="1478"/>
      <c r="AS12" s="1478"/>
      <c r="AT12" s="1478"/>
      <c r="AU12" s="1478"/>
      <c r="AV12" s="1478"/>
      <c r="AW12" s="1478"/>
      <c r="AX12" s="1478"/>
      <c r="AY12" s="1478"/>
      <c r="AZ12" s="1478"/>
      <c r="BA12" s="1478"/>
      <c r="BB12" s="1478"/>
      <c r="BC12" s="1478"/>
      <c r="BD12" s="1478"/>
      <c r="BE12" s="1478"/>
      <c r="BF12" s="1478"/>
      <c r="BG12" s="1478"/>
      <c r="BH12" s="1478"/>
      <c r="BI12" s="1478"/>
      <c r="BJ12" s="1478"/>
      <c r="BK12" s="1478"/>
      <c r="BL12" s="1478"/>
      <c r="BM12" s="1478"/>
      <c r="BN12" s="1478"/>
      <c r="BO12" s="1478"/>
      <c r="BP12" s="1478"/>
      <c r="BQ12" s="1478"/>
      <c r="BR12" s="1478"/>
      <c r="BS12" s="1479"/>
      <c r="BT12" s="1418" t="s">
        <v>2055</v>
      </c>
      <c r="BU12" s="1419"/>
      <c r="BV12" s="1419"/>
      <c r="BW12" s="1420"/>
      <c r="BX12" s="1418" t="s">
        <v>2056</v>
      </c>
      <c r="BY12" s="1419"/>
      <c r="BZ12" s="1419"/>
      <c r="CA12" s="1420"/>
      <c r="CB12" s="1418" t="s">
        <v>2057</v>
      </c>
      <c r="CC12" s="1420"/>
      <c r="CD12" s="1418" t="s">
        <v>2058</v>
      </c>
      <c r="CE12" s="1419"/>
      <c r="CF12" s="1419"/>
      <c r="CG12" s="1419"/>
      <c r="CH12" s="1419"/>
      <c r="CI12" s="1419"/>
      <c r="CJ12" s="1419"/>
      <c r="CK12" s="1420"/>
      <c r="CL12" s="1485"/>
      <c r="CM12" s="1478"/>
      <c r="CN12" s="1478"/>
      <c r="CO12" s="1478"/>
      <c r="CP12" s="1478"/>
      <c r="CQ12" s="1478"/>
      <c r="CR12" s="1478"/>
      <c r="CS12" s="1478"/>
      <c r="CT12" s="1478"/>
      <c r="CU12" s="1478"/>
      <c r="CV12" s="1478"/>
      <c r="CW12" s="1478"/>
      <c r="CX12" s="1479"/>
      <c r="CY12" s="1418" t="s">
        <v>2059</v>
      </c>
      <c r="CZ12" s="1419"/>
      <c r="DA12" s="1419"/>
      <c r="DB12" s="1419"/>
      <c r="DC12" s="1419"/>
      <c r="DD12" s="1420"/>
      <c r="DE12" s="1418" t="s">
        <v>2060</v>
      </c>
      <c r="DF12" s="1420"/>
      <c r="DG12" s="1418" t="s">
        <v>2058</v>
      </c>
      <c r="DH12" s="1419"/>
      <c r="DI12" s="1419"/>
      <c r="DJ12" s="1420"/>
      <c r="DK12" s="1485"/>
      <c r="DL12" s="1478"/>
      <c r="DM12" s="1478"/>
      <c r="DN12" s="1478"/>
      <c r="DO12" s="1478"/>
      <c r="DP12" s="1478"/>
      <c r="DQ12" s="1478"/>
      <c r="DR12" s="1478"/>
      <c r="DS12" s="1478"/>
      <c r="DT12" s="1478"/>
      <c r="DU12" s="1478"/>
      <c r="DV12" s="1478"/>
      <c r="DW12" s="1478"/>
      <c r="DX12" s="1478"/>
      <c r="DY12" s="1478"/>
      <c r="DZ12" s="1478"/>
      <c r="EA12" s="1478"/>
      <c r="EB12" s="1478"/>
      <c r="EC12" s="1478"/>
      <c r="ED12" s="1478"/>
      <c r="EE12" s="1478"/>
      <c r="EF12" s="1478"/>
      <c r="EG12" s="1478"/>
      <c r="EH12" s="1478"/>
      <c r="EI12" s="1478"/>
      <c r="EJ12" s="1478"/>
      <c r="EK12" s="1478"/>
      <c r="EL12" s="1478"/>
      <c r="EM12" s="1478"/>
      <c r="EN12" s="1478"/>
      <c r="EO12" s="1478"/>
      <c r="EP12" s="1478"/>
      <c r="EQ12" s="1478"/>
      <c r="ER12" s="1478"/>
      <c r="ES12" s="1478"/>
      <c r="ET12" s="1478"/>
      <c r="EU12" s="1478"/>
      <c r="EV12" s="1478"/>
      <c r="EW12" s="1478"/>
      <c r="EX12" s="1478"/>
      <c r="EY12" s="1478"/>
      <c r="EZ12" s="1478"/>
      <c r="FA12" s="1478"/>
      <c r="FB12" s="1478"/>
      <c r="FC12" s="1478"/>
      <c r="FD12" s="1478"/>
      <c r="FE12" s="1478"/>
      <c r="FF12" s="1478"/>
      <c r="FG12" s="1478"/>
      <c r="FH12" s="1478"/>
      <c r="FI12" s="1478"/>
      <c r="FJ12" s="1478"/>
      <c r="FK12" s="1478"/>
      <c r="FL12" s="1478"/>
      <c r="FM12" s="1478"/>
      <c r="FN12" s="1478"/>
      <c r="FO12" s="1478"/>
      <c r="FP12" s="1478"/>
      <c r="FQ12" s="1478"/>
      <c r="FR12" s="1478"/>
      <c r="FS12" s="1478"/>
      <c r="FT12" s="1478"/>
      <c r="FU12" s="1478"/>
      <c r="FV12" s="1478"/>
      <c r="FW12" s="1483"/>
      <c r="FX12" s="42"/>
    </row>
    <row r="13" spans="2:180" ht="36" customHeight="1">
      <c r="D13" s="67"/>
      <c r="E13" s="580"/>
      <c r="F13" s="1383"/>
      <c r="G13" s="1383"/>
      <c r="H13" s="1383"/>
      <c r="I13" s="1383"/>
      <c r="J13" s="1495"/>
      <c r="K13" s="1495"/>
      <c r="L13" s="1495"/>
      <c r="M13" s="1495"/>
      <c r="N13" s="1495"/>
      <c r="O13" s="1213" t="s">
        <v>2061</v>
      </c>
      <c r="P13" s="1213"/>
      <c r="Q13" s="1213"/>
      <c r="R13" s="1213"/>
      <c r="S13" s="1461" t="s">
        <v>2062</v>
      </c>
      <c r="T13" s="1462"/>
      <c r="U13" s="1123" t="s">
        <v>2063</v>
      </c>
      <c r="V13" s="1123"/>
      <c r="W13" s="1123"/>
      <c r="X13" s="1123"/>
      <c r="Y13" s="1123" t="s">
        <v>2064</v>
      </c>
      <c r="Z13" s="1123"/>
      <c r="AA13" s="1123"/>
      <c r="AB13" s="1123"/>
      <c r="AC13" s="1478"/>
      <c r="AD13" s="1478"/>
      <c r="AE13" s="1478"/>
      <c r="AF13" s="1478"/>
      <c r="AG13" s="1478"/>
      <c r="AH13" s="1478"/>
      <c r="AI13" s="1478"/>
      <c r="AJ13" s="1478"/>
      <c r="AK13" s="1478"/>
      <c r="AL13" s="1478"/>
      <c r="AM13" s="1478"/>
      <c r="AN13" s="1478"/>
      <c r="AO13" s="1478"/>
      <c r="AP13" s="1478"/>
      <c r="AQ13" s="1478"/>
      <c r="AR13" s="1478"/>
      <c r="AS13" s="1478"/>
      <c r="AT13" s="1478"/>
      <c r="AU13" s="1478"/>
      <c r="AV13" s="1478"/>
      <c r="AW13" s="1478"/>
      <c r="AX13" s="1478"/>
      <c r="AY13" s="1478"/>
      <c r="AZ13" s="1478"/>
      <c r="BA13" s="1478"/>
      <c r="BB13" s="1478"/>
      <c r="BC13" s="1478"/>
      <c r="BD13" s="1478"/>
      <c r="BE13" s="1478"/>
      <c r="BF13" s="1478"/>
      <c r="BG13" s="1478"/>
      <c r="BH13" s="1478"/>
      <c r="BI13" s="1478"/>
      <c r="BJ13" s="1478"/>
      <c r="BK13" s="1478"/>
      <c r="BL13" s="1478"/>
      <c r="BM13" s="1478"/>
      <c r="BN13" s="1478"/>
      <c r="BO13" s="1478"/>
      <c r="BP13" s="1478"/>
      <c r="BQ13" s="1478"/>
      <c r="BR13" s="1478"/>
      <c r="BS13" s="1479"/>
      <c r="BT13" s="1461" t="s">
        <v>2065</v>
      </c>
      <c r="BU13" s="1462"/>
      <c r="BV13" s="1461" t="s">
        <v>2066</v>
      </c>
      <c r="BW13" s="1462"/>
      <c r="BX13" s="1461" t="s">
        <v>2067</v>
      </c>
      <c r="BY13" s="1462"/>
      <c r="BZ13" s="1461" t="s">
        <v>2068</v>
      </c>
      <c r="CA13" s="1462"/>
      <c r="CB13" s="1461" t="s">
        <v>2069</v>
      </c>
      <c r="CC13" s="1462"/>
      <c r="CD13" s="1461" t="s">
        <v>2070</v>
      </c>
      <c r="CE13" s="1462"/>
      <c r="CF13" s="1461" t="s">
        <v>2071</v>
      </c>
      <c r="CG13" s="1462"/>
      <c r="CH13" s="1418" t="s">
        <v>2072</v>
      </c>
      <c r="CI13" s="1419"/>
      <c r="CJ13" s="1419"/>
      <c r="CK13" s="1420"/>
      <c r="CL13" s="1485"/>
      <c r="CM13" s="1478"/>
      <c r="CN13" s="1478"/>
      <c r="CO13" s="1478"/>
      <c r="CP13" s="1478"/>
      <c r="CQ13" s="1478"/>
      <c r="CR13" s="1478"/>
      <c r="CS13" s="1478"/>
      <c r="CT13" s="1478"/>
      <c r="CU13" s="1478"/>
      <c r="CV13" s="1478"/>
      <c r="CW13" s="1478"/>
      <c r="CX13" s="1479"/>
      <c r="CY13" s="1461" t="s">
        <v>2073</v>
      </c>
      <c r="CZ13" s="1462"/>
      <c r="DA13" s="1461" t="s">
        <v>2074</v>
      </c>
      <c r="DB13" s="1462"/>
      <c r="DC13" s="1461" t="s">
        <v>2075</v>
      </c>
      <c r="DD13" s="1462"/>
      <c r="DE13" s="1461" t="s">
        <v>2076</v>
      </c>
      <c r="DF13" s="1462"/>
      <c r="DG13" s="1418" t="s">
        <v>2077</v>
      </c>
      <c r="DH13" s="1419"/>
      <c r="DI13" s="1419"/>
      <c r="DJ13" s="1420"/>
      <c r="DK13" s="1485"/>
      <c r="DL13" s="1478"/>
      <c r="DM13" s="1478"/>
      <c r="DN13" s="1478"/>
      <c r="DO13" s="1478"/>
      <c r="DP13" s="1478"/>
      <c r="DQ13" s="1478"/>
      <c r="DR13" s="1478"/>
      <c r="DS13" s="1478"/>
      <c r="DT13" s="1478"/>
      <c r="DU13" s="1478"/>
      <c r="DV13" s="1478"/>
      <c r="DW13" s="1478"/>
      <c r="DX13" s="1478"/>
      <c r="DY13" s="1478"/>
      <c r="DZ13" s="1478"/>
      <c r="EA13" s="1478"/>
      <c r="EB13" s="1478"/>
      <c r="EC13" s="1478"/>
      <c r="ED13" s="1478"/>
      <c r="EE13" s="1478"/>
      <c r="EF13" s="1478"/>
      <c r="EG13" s="1478"/>
      <c r="EH13" s="1478"/>
      <c r="EI13" s="1478"/>
      <c r="EJ13" s="1478"/>
      <c r="EK13" s="1478"/>
      <c r="EL13" s="1478"/>
      <c r="EM13" s="1478"/>
      <c r="EN13" s="1478"/>
      <c r="EO13" s="1478"/>
      <c r="EP13" s="1478"/>
      <c r="EQ13" s="1478"/>
      <c r="ER13" s="1478"/>
      <c r="ES13" s="1478"/>
      <c r="ET13" s="1478"/>
      <c r="EU13" s="1478"/>
      <c r="EV13" s="1478"/>
      <c r="EW13" s="1478"/>
      <c r="EX13" s="1478"/>
      <c r="EY13" s="1478"/>
      <c r="EZ13" s="1478"/>
      <c r="FA13" s="1478"/>
      <c r="FB13" s="1478"/>
      <c r="FC13" s="1478"/>
      <c r="FD13" s="1478"/>
      <c r="FE13" s="1478"/>
      <c r="FF13" s="1478"/>
      <c r="FG13" s="1478"/>
      <c r="FH13" s="1478"/>
      <c r="FI13" s="1478"/>
      <c r="FJ13" s="1478"/>
      <c r="FK13" s="1478"/>
      <c r="FL13" s="1478"/>
      <c r="FM13" s="1478"/>
      <c r="FN13" s="1478"/>
      <c r="FO13" s="1478"/>
      <c r="FP13" s="1478"/>
      <c r="FQ13" s="1478"/>
      <c r="FR13" s="1478"/>
      <c r="FS13" s="1478"/>
      <c r="FT13" s="1478"/>
      <c r="FU13" s="1478"/>
      <c r="FV13" s="1478"/>
      <c r="FW13" s="1483"/>
      <c r="FX13" s="42"/>
    </row>
    <row r="14" spans="2:180" ht="36" customHeight="1">
      <c r="D14" s="67"/>
      <c r="E14" s="580"/>
      <c r="F14" s="1383"/>
      <c r="G14" s="1383"/>
      <c r="H14" s="1383"/>
      <c r="I14" s="1383"/>
      <c r="J14" s="1495"/>
      <c r="K14" s="1495"/>
      <c r="L14" s="1495"/>
      <c r="M14" s="1495"/>
      <c r="N14" s="1495"/>
      <c r="O14" s="1461" t="s">
        <v>2078</v>
      </c>
      <c r="P14" s="1462"/>
      <c r="Q14" s="1461" t="s">
        <v>2079</v>
      </c>
      <c r="R14" s="1462"/>
      <c r="S14" s="1463"/>
      <c r="T14" s="1214"/>
      <c r="U14" s="1461" t="s">
        <v>1867</v>
      </c>
      <c r="V14" s="1462"/>
      <c r="W14" s="1461" t="s">
        <v>1870</v>
      </c>
      <c r="X14" s="1462"/>
      <c r="Y14" s="1461" t="s">
        <v>1867</v>
      </c>
      <c r="Z14" s="1462"/>
      <c r="AA14" s="1461" t="s">
        <v>1877</v>
      </c>
      <c r="AB14" s="1462"/>
      <c r="AC14" s="1478"/>
      <c r="AD14" s="1478"/>
      <c r="AE14" s="1478"/>
      <c r="AF14" s="1478"/>
      <c r="AG14" s="1478"/>
      <c r="AH14" s="1478"/>
      <c r="AI14" s="1478"/>
      <c r="AJ14" s="1478"/>
      <c r="AK14" s="1478"/>
      <c r="AL14" s="1478"/>
      <c r="AM14" s="1478"/>
      <c r="AN14" s="1478"/>
      <c r="AO14" s="1478"/>
      <c r="AP14" s="1478"/>
      <c r="AQ14" s="1478"/>
      <c r="AR14" s="1478"/>
      <c r="AS14" s="1478"/>
      <c r="AT14" s="1478"/>
      <c r="AU14" s="1478"/>
      <c r="AV14" s="1478"/>
      <c r="AW14" s="1478"/>
      <c r="AX14" s="1478"/>
      <c r="AY14" s="1478"/>
      <c r="AZ14" s="1478"/>
      <c r="BA14" s="1478"/>
      <c r="BB14" s="1478"/>
      <c r="BC14" s="1478"/>
      <c r="BD14" s="1478"/>
      <c r="BE14" s="1478"/>
      <c r="BF14" s="1478"/>
      <c r="BG14" s="1478"/>
      <c r="BH14" s="1478"/>
      <c r="BI14" s="1478"/>
      <c r="BJ14" s="1478"/>
      <c r="BK14" s="1478"/>
      <c r="BL14" s="1478"/>
      <c r="BM14" s="1478"/>
      <c r="BN14" s="1478"/>
      <c r="BO14" s="1478"/>
      <c r="BP14" s="1478"/>
      <c r="BQ14" s="1478"/>
      <c r="BR14" s="1478"/>
      <c r="BS14" s="1479"/>
      <c r="BT14" s="1463"/>
      <c r="BU14" s="1214"/>
      <c r="BV14" s="1463"/>
      <c r="BW14" s="1214"/>
      <c r="BX14" s="1463"/>
      <c r="BY14" s="1214"/>
      <c r="BZ14" s="1463"/>
      <c r="CA14" s="1214"/>
      <c r="CB14" s="1463"/>
      <c r="CC14" s="1214"/>
      <c r="CD14" s="1463"/>
      <c r="CE14" s="1214"/>
      <c r="CF14" s="1463"/>
      <c r="CG14" s="1214"/>
      <c r="CH14" s="1461" t="s">
        <v>2080</v>
      </c>
      <c r="CI14" s="1462"/>
      <c r="CJ14" s="1461" t="s">
        <v>2081</v>
      </c>
      <c r="CK14" s="1462"/>
      <c r="CL14" s="1485"/>
      <c r="CM14" s="1478"/>
      <c r="CN14" s="1478"/>
      <c r="CO14" s="1478"/>
      <c r="CP14" s="1478"/>
      <c r="CQ14" s="1478"/>
      <c r="CR14" s="1478"/>
      <c r="CS14" s="1478"/>
      <c r="CT14" s="1478"/>
      <c r="CU14" s="1478"/>
      <c r="CV14" s="1478"/>
      <c r="CW14" s="1478"/>
      <c r="CX14" s="1479"/>
      <c r="CY14" s="1463"/>
      <c r="CZ14" s="1214"/>
      <c r="DA14" s="1463"/>
      <c r="DB14" s="1214"/>
      <c r="DC14" s="1463"/>
      <c r="DD14" s="1214"/>
      <c r="DE14" s="1463"/>
      <c r="DF14" s="1214"/>
      <c r="DG14" s="1461" t="s">
        <v>2082</v>
      </c>
      <c r="DH14" s="1462"/>
      <c r="DI14" s="1461" t="s">
        <v>2083</v>
      </c>
      <c r="DJ14" s="1462"/>
      <c r="DK14" s="1485"/>
      <c r="DL14" s="1478"/>
      <c r="DM14" s="1478"/>
      <c r="DN14" s="1478"/>
      <c r="DO14" s="1478"/>
      <c r="DP14" s="1478"/>
      <c r="DQ14" s="1478"/>
      <c r="DR14" s="1478"/>
      <c r="DS14" s="1478"/>
      <c r="DT14" s="1478"/>
      <c r="DU14" s="1478"/>
      <c r="DV14" s="1478"/>
      <c r="DW14" s="1478"/>
      <c r="DX14" s="1478"/>
      <c r="DY14" s="1478"/>
      <c r="DZ14" s="1478"/>
      <c r="EA14" s="1478"/>
      <c r="EB14" s="1478"/>
      <c r="EC14" s="1478"/>
      <c r="ED14" s="1478"/>
      <c r="EE14" s="1478"/>
      <c r="EF14" s="1478"/>
      <c r="EG14" s="1478"/>
      <c r="EH14" s="1478"/>
      <c r="EI14" s="1478"/>
      <c r="EJ14" s="1478"/>
      <c r="EK14" s="1478"/>
      <c r="EL14" s="1478"/>
      <c r="EM14" s="1478"/>
      <c r="EN14" s="1478"/>
      <c r="EO14" s="1478"/>
      <c r="EP14" s="1478"/>
      <c r="EQ14" s="1478"/>
      <c r="ER14" s="1478"/>
      <c r="ES14" s="1478"/>
      <c r="ET14" s="1478"/>
      <c r="EU14" s="1478"/>
      <c r="EV14" s="1478"/>
      <c r="EW14" s="1478"/>
      <c r="EX14" s="1478"/>
      <c r="EY14" s="1478"/>
      <c r="EZ14" s="1478"/>
      <c r="FA14" s="1478"/>
      <c r="FB14" s="1478"/>
      <c r="FC14" s="1478"/>
      <c r="FD14" s="1478"/>
      <c r="FE14" s="1478"/>
      <c r="FF14" s="1478"/>
      <c r="FG14" s="1478"/>
      <c r="FH14" s="1478"/>
      <c r="FI14" s="1478"/>
      <c r="FJ14" s="1478"/>
      <c r="FK14" s="1478"/>
      <c r="FL14" s="1478"/>
      <c r="FM14" s="1478"/>
      <c r="FN14" s="1478"/>
      <c r="FO14" s="1478"/>
      <c r="FP14" s="1478"/>
      <c r="FQ14" s="1478"/>
      <c r="FR14" s="1478"/>
      <c r="FS14" s="1478"/>
      <c r="FT14" s="1478"/>
      <c r="FU14" s="1478"/>
      <c r="FV14" s="1478"/>
      <c r="FW14" s="1483"/>
      <c r="FX14" s="42"/>
    </row>
    <row r="15" spans="2:180" ht="36" customHeight="1">
      <c r="D15" s="67"/>
      <c r="E15" s="580"/>
      <c r="F15" s="1383"/>
      <c r="G15" s="1383"/>
      <c r="H15" s="1383"/>
      <c r="I15" s="1383"/>
      <c r="J15" s="1495"/>
      <c r="K15" s="1495"/>
      <c r="L15" s="1495"/>
      <c r="M15" s="1495"/>
      <c r="N15" s="1495"/>
      <c r="O15" s="1464"/>
      <c r="P15" s="1465"/>
      <c r="Q15" s="1464"/>
      <c r="R15" s="1465"/>
      <c r="S15" s="1464"/>
      <c r="T15" s="1465"/>
      <c r="U15" s="1464"/>
      <c r="V15" s="1465"/>
      <c r="W15" s="1464"/>
      <c r="X15" s="1465"/>
      <c r="Y15" s="1464"/>
      <c r="Z15" s="1465"/>
      <c r="AA15" s="1464"/>
      <c r="AB15" s="1465"/>
      <c r="AC15" s="1478"/>
      <c r="AD15" s="1478"/>
      <c r="AE15" s="1478"/>
      <c r="AF15" s="1478"/>
      <c r="AG15" s="1478"/>
      <c r="AH15" s="1478"/>
      <c r="AI15" s="1478"/>
      <c r="AJ15" s="1478"/>
      <c r="AK15" s="1478"/>
      <c r="AL15" s="1478"/>
      <c r="AM15" s="1478"/>
      <c r="AN15" s="1478"/>
      <c r="AO15" s="1478"/>
      <c r="AP15" s="1478"/>
      <c r="AQ15" s="1478"/>
      <c r="AR15" s="1478"/>
      <c r="AS15" s="1478"/>
      <c r="AT15" s="1478"/>
      <c r="AU15" s="1478"/>
      <c r="AV15" s="1478"/>
      <c r="AW15" s="1478"/>
      <c r="AX15" s="1478"/>
      <c r="AY15" s="1478"/>
      <c r="AZ15" s="1478"/>
      <c r="BA15" s="1478"/>
      <c r="BB15" s="1478"/>
      <c r="BC15" s="1478"/>
      <c r="BD15" s="1478"/>
      <c r="BE15" s="1478"/>
      <c r="BF15" s="1478"/>
      <c r="BG15" s="1478"/>
      <c r="BH15" s="1478"/>
      <c r="BI15" s="1478"/>
      <c r="BJ15" s="1478"/>
      <c r="BK15" s="1478"/>
      <c r="BL15" s="1478"/>
      <c r="BM15" s="1478"/>
      <c r="BN15" s="1478"/>
      <c r="BO15" s="1478"/>
      <c r="BP15" s="1478"/>
      <c r="BQ15" s="1478"/>
      <c r="BR15" s="1478"/>
      <c r="BS15" s="1479"/>
      <c r="BT15" s="1464"/>
      <c r="BU15" s="1465"/>
      <c r="BV15" s="1464"/>
      <c r="BW15" s="1465"/>
      <c r="BX15" s="1464"/>
      <c r="BY15" s="1465"/>
      <c r="BZ15" s="1464"/>
      <c r="CA15" s="1465"/>
      <c r="CB15" s="1464"/>
      <c r="CC15" s="1465"/>
      <c r="CD15" s="1464"/>
      <c r="CE15" s="1465"/>
      <c r="CF15" s="1464"/>
      <c r="CG15" s="1465"/>
      <c r="CH15" s="1464"/>
      <c r="CI15" s="1465"/>
      <c r="CJ15" s="1464"/>
      <c r="CK15" s="1465"/>
      <c r="CL15" s="1485"/>
      <c r="CM15" s="1478"/>
      <c r="CN15" s="1478"/>
      <c r="CO15" s="1478"/>
      <c r="CP15" s="1478"/>
      <c r="CQ15" s="1478"/>
      <c r="CR15" s="1478"/>
      <c r="CS15" s="1478"/>
      <c r="CT15" s="1478"/>
      <c r="CU15" s="1478"/>
      <c r="CV15" s="1478"/>
      <c r="CW15" s="1478"/>
      <c r="CX15" s="1479"/>
      <c r="CY15" s="1464"/>
      <c r="CZ15" s="1465"/>
      <c r="DA15" s="1464"/>
      <c r="DB15" s="1465"/>
      <c r="DC15" s="1464"/>
      <c r="DD15" s="1465"/>
      <c r="DE15" s="1464"/>
      <c r="DF15" s="1465"/>
      <c r="DG15" s="1464"/>
      <c r="DH15" s="1465"/>
      <c r="DI15" s="1464"/>
      <c r="DJ15" s="1465"/>
      <c r="DK15" s="1485"/>
      <c r="DL15" s="1478"/>
      <c r="DM15" s="1478"/>
      <c r="DN15" s="1478"/>
      <c r="DO15" s="1478"/>
      <c r="DP15" s="1478"/>
      <c r="DQ15" s="1478"/>
      <c r="DR15" s="1478"/>
      <c r="DS15" s="1478"/>
      <c r="DT15" s="1478"/>
      <c r="DU15" s="1478"/>
      <c r="DV15" s="1478"/>
      <c r="DW15" s="1478"/>
      <c r="DX15" s="1478"/>
      <c r="DY15" s="1478"/>
      <c r="DZ15" s="1478"/>
      <c r="EA15" s="1478"/>
      <c r="EB15" s="1478"/>
      <c r="EC15" s="1478"/>
      <c r="ED15" s="1478"/>
      <c r="EE15" s="1478"/>
      <c r="EF15" s="1478"/>
      <c r="EG15" s="1478"/>
      <c r="EH15" s="1478"/>
      <c r="EI15" s="1478"/>
      <c r="EJ15" s="1478"/>
      <c r="EK15" s="1478"/>
      <c r="EL15" s="1478"/>
      <c r="EM15" s="1478"/>
      <c r="EN15" s="1478"/>
      <c r="EO15" s="1478"/>
      <c r="EP15" s="1478"/>
      <c r="EQ15" s="1478"/>
      <c r="ER15" s="1478"/>
      <c r="ES15" s="1478"/>
      <c r="ET15" s="1478"/>
      <c r="EU15" s="1478"/>
      <c r="EV15" s="1478"/>
      <c r="EW15" s="1478"/>
      <c r="EX15" s="1478"/>
      <c r="EY15" s="1478"/>
      <c r="EZ15" s="1478"/>
      <c r="FA15" s="1478"/>
      <c r="FB15" s="1478"/>
      <c r="FC15" s="1478"/>
      <c r="FD15" s="1478"/>
      <c r="FE15" s="1478"/>
      <c r="FF15" s="1478"/>
      <c r="FG15" s="1478"/>
      <c r="FH15" s="1478"/>
      <c r="FI15" s="1478"/>
      <c r="FJ15" s="1478"/>
      <c r="FK15" s="1478"/>
      <c r="FL15" s="1478"/>
      <c r="FM15" s="1478"/>
      <c r="FN15" s="1478"/>
      <c r="FO15" s="1478"/>
      <c r="FP15" s="1478"/>
      <c r="FQ15" s="1478"/>
      <c r="FR15" s="1478"/>
      <c r="FS15" s="1478"/>
      <c r="FT15" s="1478"/>
      <c r="FU15" s="1478"/>
      <c r="FV15" s="1478"/>
      <c r="FW15" s="1483"/>
      <c r="FX15" s="42"/>
    </row>
    <row r="16" spans="2:180" ht="12" customHeight="1">
      <c r="D16" s="67"/>
      <c r="E16" s="580"/>
      <c r="F16" s="1383"/>
      <c r="G16" s="1383"/>
      <c r="H16" s="1383"/>
      <c r="I16" s="1383"/>
      <c r="J16" s="1495"/>
      <c r="K16" s="1495"/>
      <c r="L16" s="1495"/>
      <c r="M16" s="1495"/>
      <c r="N16" s="1495"/>
      <c r="O16" s="1418" t="s">
        <v>1857</v>
      </c>
      <c r="P16" s="1420"/>
      <c r="Q16" s="1418" t="s">
        <v>1859</v>
      </c>
      <c r="R16" s="1420"/>
      <c r="S16" s="1418" t="s">
        <v>1863</v>
      </c>
      <c r="T16" s="1420"/>
      <c r="U16" s="1418" t="s">
        <v>1868</v>
      </c>
      <c r="V16" s="1420"/>
      <c r="W16" s="1418" t="s">
        <v>1871</v>
      </c>
      <c r="X16" s="1420"/>
      <c r="Y16" s="1418" t="s">
        <v>1875</v>
      </c>
      <c r="Z16" s="1420"/>
      <c r="AA16" s="1418" t="s">
        <v>1878</v>
      </c>
      <c r="AB16" s="1420"/>
      <c r="AC16" s="1478"/>
      <c r="AD16" s="1478"/>
      <c r="AE16" s="1478"/>
      <c r="AF16" s="1478"/>
      <c r="AG16" s="1478"/>
      <c r="AH16" s="1478"/>
      <c r="AI16" s="1478"/>
      <c r="AJ16" s="1478"/>
      <c r="AK16" s="1478"/>
      <c r="AL16" s="1478"/>
      <c r="AM16" s="1478"/>
      <c r="AN16" s="1478"/>
      <c r="AO16" s="1478"/>
      <c r="AP16" s="1478"/>
      <c r="AQ16" s="1478"/>
      <c r="AR16" s="1478"/>
      <c r="AS16" s="1478"/>
      <c r="AT16" s="1478"/>
      <c r="AU16" s="1478"/>
      <c r="AV16" s="1478"/>
      <c r="AW16" s="1478"/>
      <c r="AX16" s="1478"/>
      <c r="AY16" s="1478"/>
      <c r="AZ16" s="1478"/>
      <c r="BA16" s="1478"/>
      <c r="BB16" s="1478"/>
      <c r="BC16" s="1478"/>
      <c r="BD16" s="1478"/>
      <c r="BE16" s="1478"/>
      <c r="BF16" s="1478"/>
      <c r="BG16" s="1478"/>
      <c r="BH16" s="1478"/>
      <c r="BI16" s="1478"/>
      <c r="BJ16" s="1478"/>
      <c r="BK16" s="1478"/>
      <c r="BL16" s="1478"/>
      <c r="BM16" s="1478"/>
      <c r="BN16" s="1478"/>
      <c r="BO16" s="1478"/>
      <c r="BP16" s="1478"/>
      <c r="BQ16" s="1478"/>
      <c r="BR16" s="1478"/>
      <c r="BS16" s="1479"/>
      <c r="BT16" s="1418" t="s">
        <v>1619</v>
      </c>
      <c r="BU16" s="1420"/>
      <c r="BV16" s="1418" t="s">
        <v>1619</v>
      </c>
      <c r="BW16" s="1420"/>
      <c r="BX16" s="1418" t="s">
        <v>1619</v>
      </c>
      <c r="BY16" s="1420"/>
      <c r="BZ16" s="1418" t="s">
        <v>1619</v>
      </c>
      <c r="CA16" s="1420"/>
      <c r="CB16" s="1418" t="s">
        <v>2084</v>
      </c>
      <c r="CC16" s="1420"/>
      <c r="CD16" s="1418" t="s">
        <v>1619</v>
      </c>
      <c r="CE16" s="1420"/>
      <c r="CF16" s="1418" t="s">
        <v>2085</v>
      </c>
      <c r="CG16" s="1420"/>
      <c r="CH16" s="1418" t="s">
        <v>2086</v>
      </c>
      <c r="CI16" s="1420"/>
      <c r="CJ16" s="1418" t="s">
        <v>2086</v>
      </c>
      <c r="CK16" s="1420"/>
      <c r="CL16" s="1485"/>
      <c r="CM16" s="1478"/>
      <c r="CN16" s="1478"/>
      <c r="CO16" s="1478"/>
      <c r="CP16" s="1478"/>
      <c r="CQ16" s="1478"/>
      <c r="CR16" s="1478"/>
      <c r="CS16" s="1478"/>
      <c r="CT16" s="1478"/>
      <c r="CU16" s="1478"/>
      <c r="CV16" s="1478"/>
      <c r="CW16" s="1478"/>
      <c r="CX16" s="1479"/>
      <c r="CY16" s="1461" t="s">
        <v>1619</v>
      </c>
      <c r="CZ16" s="1462"/>
      <c r="DA16" s="1461" t="s">
        <v>1619</v>
      </c>
      <c r="DB16" s="1462"/>
      <c r="DC16" s="1461" t="s">
        <v>1619</v>
      </c>
      <c r="DD16" s="1462"/>
      <c r="DE16" s="1418" t="s">
        <v>2084</v>
      </c>
      <c r="DF16" s="1420"/>
      <c r="DG16" s="1418" t="s">
        <v>2087</v>
      </c>
      <c r="DH16" s="1420"/>
      <c r="DI16" s="1418" t="s">
        <v>2087</v>
      </c>
      <c r="DJ16" s="1420"/>
      <c r="DK16" s="1485"/>
      <c r="DL16" s="1478"/>
      <c r="DM16" s="1478"/>
      <c r="DN16" s="1478"/>
      <c r="DO16" s="1478"/>
      <c r="DP16" s="1478"/>
      <c r="DQ16" s="1478"/>
      <c r="DR16" s="1478"/>
      <c r="DS16" s="1478"/>
      <c r="DT16" s="1478"/>
      <c r="DU16" s="1478"/>
      <c r="DV16" s="1478"/>
      <c r="DW16" s="1478"/>
      <c r="DX16" s="1478"/>
      <c r="DY16" s="1478"/>
      <c r="DZ16" s="1478"/>
      <c r="EA16" s="1478"/>
      <c r="EB16" s="1478"/>
      <c r="EC16" s="1478"/>
      <c r="ED16" s="1478"/>
      <c r="EE16" s="1478"/>
      <c r="EF16" s="1478"/>
      <c r="EG16" s="1478"/>
      <c r="EH16" s="1478"/>
      <c r="EI16" s="1478"/>
      <c r="EJ16" s="1478"/>
      <c r="EK16" s="1478"/>
      <c r="EL16" s="1478"/>
      <c r="EM16" s="1478"/>
      <c r="EN16" s="1478"/>
      <c r="EO16" s="1478"/>
      <c r="EP16" s="1478"/>
      <c r="EQ16" s="1478"/>
      <c r="ER16" s="1478"/>
      <c r="ES16" s="1478"/>
      <c r="ET16" s="1478"/>
      <c r="EU16" s="1478"/>
      <c r="EV16" s="1478"/>
      <c r="EW16" s="1478"/>
      <c r="EX16" s="1478"/>
      <c r="EY16" s="1478"/>
      <c r="EZ16" s="1478"/>
      <c r="FA16" s="1478"/>
      <c r="FB16" s="1478"/>
      <c r="FC16" s="1478"/>
      <c r="FD16" s="1478"/>
      <c r="FE16" s="1478"/>
      <c r="FF16" s="1478"/>
      <c r="FG16" s="1478"/>
      <c r="FH16" s="1478"/>
      <c r="FI16" s="1478"/>
      <c r="FJ16" s="1478"/>
      <c r="FK16" s="1478"/>
      <c r="FL16" s="1478"/>
      <c r="FM16" s="1478"/>
      <c r="FN16" s="1478"/>
      <c r="FO16" s="1478"/>
      <c r="FP16" s="1478"/>
      <c r="FQ16" s="1478"/>
      <c r="FR16" s="1478"/>
      <c r="FS16" s="1478"/>
      <c r="FT16" s="1478"/>
      <c r="FU16" s="1478"/>
      <c r="FV16" s="1478"/>
      <c r="FW16" s="1483"/>
      <c r="FX16" s="42"/>
    </row>
    <row r="17" spans="1:184" ht="15" customHeight="1">
      <c r="E17" s="580"/>
      <c r="F17" s="1383"/>
      <c r="G17" s="1383"/>
      <c r="H17" s="1383"/>
      <c r="I17" s="1383"/>
      <c r="J17" s="1495"/>
      <c r="K17" s="1495"/>
      <c r="L17" s="1495"/>
      <c r="M17" s="1495"/>
      <c r="N17" s="1495"/>
      <c r="O17" s="45" t="s">
        <v>2088</v>
      </c>
      <c r="P17" s="45" t="s">
        <v>2089</v>
      </c>
      <c r="Q17" s="45" t="s">
        <v>2088</v>
      </c>
      <c r="R17" s="45" t="s">
        <v>2089</v>
      </c>
      <c r="S17" s="45" t="s">
        <v>2088</v>
      </c>
      <c r="T17" s="45" t="s">
        <v>2089</v>
      </c>
      <c r="U17" s="45" t="s">
        <v>2088</v>
      </c>
      <c r="V17" s="45" t="s">
        <v>2089</v>
      </c>
      <c r="W17" s="45" t="s">
        <v>2088</v>
      </c>
      <c r="X17" s="45" t="s">
        <v>2089</v>
      </c>
      <c r="Y17" s="45" t="s">
        <v>2088</v>
      </c>
      <c r="Z17" s="45" t="s">
        <v>2089</v>
      </c>
      <c r="AA17" s="45" t="s">
        <v>2088</v>
      </c>
      <c r="AB17" s="45" t="s">
        <v>2089</v>
      </c>
      <c r="AC17" s="1478"/>
      <c r="AD17" s="1478"/>
      <c r="AE17" s="1478"/>
      <c r="AF17" s="1478"/>
      <c r="AG17" s="1478"/>
      <c r="AH17" s="1478"/>
      <c r="AI17" s="1478"/>
      <c r="AJ17" s="1478"/>
      <c r="AK17" s="1478"/>
      <c r="AL17" s="1478"/>
      <c r="AM17" s="1478"/>
      <c r="AN17" s="1478"/>
      <c r="AO17" s="1478"/>
      <c r="AP17" s="1478"/>
      <c r="AQ17" s="1478"/>
      <c r="AR17" s="1478"/>
      <c r="AS17" s="1478"/>
      <c r="AT17" s="1478"/>
      <c r="AU17" s="1478"/>
      <c r="AV17" s="1478"/>
      <c r="AW17" s="1478"/>
      <c r="AX17" s="1478"/>
      <c r="AY17" s="1478"/>
      <c r="AZ17" s="1478"/>
      <c r="BA17" s="1478"/>
      <c r="BB17" s="1478"/>
      <c r="BC17" s="1478"/>
      <c r="BD17" s="1478"/>
      <c r="BE17" s="1478"/>
      <c r="BF17" s="1478"/>
      <c r="BG17" s="1478"/>
      <c r="BH17" s="1478"/>
      <c r="BI17" s="1478"/>
      <c r="BJ17" s="1478"/>
      <c r="BK17" s="1478"/>
      <c r="BL17" s="1478"/>
      <c r="BM17" s="1478"/>
      <c r="BN17" s="1478"/>
      <c r="BO17" s="1478"/>
      <c r="BP17" s="1478"/>
      <c r="BQ17" s="1478"/>
      <c r="BR17" s="1478"/>
      <c r="BS17" s="1479"/>
      <c r="BT17" s="45" t="s">
        <v>2088</v>
      </c>
      <c r="BU17" s="45" t="s">
        <v>2089</v>
      </c>
      <c r="BV17" s="45" t="s">
        <v>2088</v>
      </c>
      <c r="BW17" s="45" t="s">
        <v>2089</v>
      </c>
      <c r="BX17" s="45" t="s">
        <v>2088</v>
      </c>
      <c r="BY17" s="45" t="s">
        <v>2089</v>
      </c>
      <c r="BZ17" s="45" t="s">
        <v>2088</v>
      </c>
      <c r="CA17" s="45" t="s">
        <v>2089</v>
      </c>
      <c r="CB17" s="45" t="s">
        <v>2088</v>
      </c>
      <c r="CC17" s="45" t="s">
        <v>2089</v>
      </c>
      <c r="CD17" s="45" t="s">
        <v>2088</v>
      </c>
      <c r="CE17" s="45" t="s">
        <v>2089</v>
      </c>
      <c r="CF17" s="45" t="s">
        <v>2088</v>
      </c>
      <c r="CG17" s="45" t="s">
        <v>2089</v>
      </c>
      <c r="CH17" s="45" t="s">
        <v>2088</v>
      </c>
      <c r="CI17" s="45" t="s">
        <v>2089</v>
      </c>
      <c r="CJ17" s="45" t="s">
        <v>2088</v>
      </c>
      <c r="CK17" s="45" t="s">
        <v>2089</v>
      </c>
      <c r="CL17" s="1485"/>
      <c r="CM17" s="1478"/>
      <c r="CN17" s="1478"/>
      <c r="CO17" s="1478"/>
      <c r="CP17" s="1478"/>
      <c r="CQ17" s="1478"/>
      <c r="CR17" s="1478"/>
      <c r="CS17" s="1478"/>
      <c r="CT17" s="1478"/>
      <c r="CU17" s="1478"/>
      <c r="CV17" s="1478"/>
      <c r="CW17" s="1478"/>
      <c r="CX17" s="1479"/>
      <c r="CY17" s="45" t="s">
        <v>2088</v>
      </c>
      <c r="CZ17" s="45" t="s">
        <v>2089</v>
      </c>
      <c r="DA17" s="45" t="s">
        <v>2088</v>
      </c>
      <c r="DB17" s="45" t="s">
        <v>2089</v>
      </c>
      <c r="DC17" s="45" t="s">
        <v>2088</v>
      </c>
      <c r="DD17" s="45" t="s">
        <v>2089</v>
      </c>
      <c r="DE17" s="45" t="s">
        <v>2088</v>
      </c>
      <c r="DF17" s="45" t="s">
        <v>2089</v>
      </c>
      <c r="DG17" s="45" t="s">
        <v>2088</v>
      </c>
      <c r="DH17" s="45" t="s">
        <v>2089</v>
      </c>
      <c r="DI17" s="45" t="s">
        <v>2088</v>
      </c>
      <c r="DJ17" s="45" t="s">
        <v>2089</v>
      </c>
      <c r="DK17" s="1485"/>
      <c r="DL17" s="1478"/>
      <c r="DM17" s="1478"/>
      <c r="DN17" s="1478"/>
      <c r="DO17" s="1478"/>
      <c r="DP17" s="1478"/>
      <c r="DQ17" s="1478"/>
      <c r="DR17" s="1478"/>
      <c r="DS17" s="1478"/>
      <c r="DT17" s="1478"/>
      <c r="DU17" s="1478"/>
      <c r="DV17" s="1478"/>
      <c r="DW17" s="1478"/>
      <c r="DX17" s="1478"/>
      <c r="DY17" s="1478"/>
      <c r="DZ17" s="1478"/>
      <c r="EA17" s="1478"/>
      <c r="EB17" s="1478"/>
      <c r="EC17" s="1478"/>
      <c r="ED17" s="1478"/>
      <c r="EE17" s="1478"/>
      <c r="EF17" s="1478"/>
      <c r="EG17" s="1478"/>
      <c r="EH17" s="1478"/>
      <c r="EI17" s="1478"/>
      <c r="EJ17" s="1478"/>
      <c r="EK17" s="1478"/>
      <c r="EL17" s="1478"/>
      <c r="EM17" s="1478"/>
      <c r="EN17" s="1478"/>
      <c r="EO17" s="1478"/>
      <c r="EP17" s="1478"/>
      <c r="EQ17" s="1478"/>
      <c r="ER17" s="1478"/>
      <c r="ES17" s="1478"/>
      <c r="ET17" s="1478"/>
      <c r="EU17" s="1478"/>
      <c r="EV17" s="1478"/>
      <c r="EW17" s="1478"/>
      <c r="EX17" s="1478"/>
      <c r="EY17" s="1478"/>
      <c r="EZ17" s="1478"/>
      <c r="FA17" s="1478"/>
      <c r="FB17" s="1478"/>
      <c r="FC17" s="1478"/>
      <c r="FD17" s="1478"/>
      <c r="FE17" s="1478"/>
      <c r="FF17" s="1478"/>
      <c r="FG17" s="1478"/>
      <c r="FH17" s="1478"/>
      <c r="FI17" s="1478"/>
      <c r="FJ17" s="1478"/>
      <c r="FK17" s="1478"/>
      <c r="FL17" s="1478"/>
      <c r="FM17" s="1478"/>
      <c r="FN17" s="1478"/>
      <c r="FO17" s="1478"/>
      <c r="FP17" s="1478"/>
      <c r="FQ17" s="1478"/>
      <c r="FR17" s="1478"/>
      <c r="FS17" s="1478"/>
      <c r="FT17" s="1478"/>
      <c r="FU17" s="1478"/>
      <c r="FV17" s="1478"/>
      <c r="FW17" s="1484"/>
      <c r="FX17" s="42"/>
    </row>
    <row r="18" spans="1:184" s="573" customFormat="1" ht="12" hidden="1" customHeight="1">
      <c r="B18" s="574"/>
      <c r="E18" s="581"/>
      <c r="F18" s="734"/>
      <c r="G18" s="734"/>
      <c r="H18" s="734"/>
      <c r="I18" s="734"/>
      <c r="J18" s="735"/>
      <c r="K18" s="735"/>
      <c r="L18" s="735"/>
      <c r="M18" s="735"/>
      <c r="N18" s="735"/>
      <c r="O18" s="734"/>
      <c r="P18" s="734"/>
      <c r="Q18" s="734"/>
      <c r="R18" s="734"/>
      <c r="S18" s="734"/>
      <c r="T18" s="734"/>
      <c r="U18" s="736"/>
      <c r="V18" s="736"/>
      <c r="W18" s="736"/>
      <c r="X18" s="736"/>
      <c r="Y18" s="736"/>
      <c r="Z18" s="736"/>
      <c r="AA18" s="736"/>
      <c r="AB18" s="734"/>
      <c r="AC18" s="735"/>
      <c r="AD18" s="735"/>
      <c r="AE18" s="735"/>
      <c r="AF18" s="735"/>
      <c r="AG18" s="735"/>
      <c r="AH18" s="735"/>
      <c r="AI18" s="735"/>
      <c r="AJ18" s="735"/>
      <c r="AK18" s="735"/>
      <c r="AL18" s="735"/>
      <c r="AM18" s="735"/>
      <c r="AN18" s="735"/>
      <c r="AO18" s="735"/>
      <c r="AP18" s="735"/>
      <c r="AQ18" s="735"/>
      <c r="AR18" s="735"/>
      <c r="AS18" s="735"/>
      <c r="AT18" s="735"/>
      <c r="AU18" s="735"/>
      <c r="AV18" s="735"/>
      <c r="AW18" s="735"/>
      <c r="AX18" s="735"/>
      <c r="AY18" s="735"/>
      <c r="AZ18" s="735"/>
      <c r="BA18" s="735"/>
      <c r="BB18" s="735"/>
      <c r="BC18" s="735"/>
      <c r="BD18" s="735"/>
      <c r="BE18" s="735"/>
      <c r="BF18" s="735"/>
      <c r="BG18" s="735"/>
      <c r="BH18" s="735"/>
      <c r="BI18" s="735"/>
      <c r="BJ18" s="735"/>
      <c r="BK18" s="735"/>
      <c r="BL18" s="735"/>
      <c r="BM18" s="735"/>
      <c r="BN18" s="735"/>
      <c r="BO18" s="735"/>
      <c r="BP18" s="735"/>
      <c r="BQ18" s="735"/>
      <c r="BR18" s="735"/>
      <c r="BS18" s="735"/>
      <c r="BT18" s="737"/>
      <c r="BU18" s="737"/>
      <c r="BV18" s="737"/>
      <c r="BW18" s="737"/>
      <c r="BX18" s="737"/>
      <c r="BY18" s="737"/>
      <c r="BZ18" s="737"/>
      <c r="CA18" s="737"/>
      <c r="CB18" s="737"/>
      <c r="CC18" s="737"/>
      <c r="CD18" s="737"/>
      <c r="CE18" s="737"/>
      <c r="CF18" s="737"/>
      <c r="CG18" s="737"/>
      <c r="CH18" s="737"/>
      <c r="CI18" s="737"/>
      <c r="CJ18" s="737"/>
      <c r="CK18" s="737"/>
      <c r="CL18" s="735"/>
      <c r="CM18" s="735"/>
      <c r="CN18" s="735"/>
      <c r="CO18" s="735"/>
      <c r="CP18" s="735"/>
      <c r="CQ18" s="735"/>
      <c r="CR18" s="735"/>
      <c r="CS18" s="735"/>
      <c r="CT18" s="735"/>
      <c r="CU18" s="735"/>
      <c r="CV18" s="735"/>
      <c r="CW18" s="735"/>
      <c r="CX18" s="735"/>
      <c r="CY18" s="737"/>
      <c r="CZ18" s="737"/>
      <c r="DA18" s="737"/>
      <c r="DB18" s="737"/>
      <c r="DC18" s="737"/>
      <c r="DD18" s="737"/>
      <c r="DE18" s="737"/>
      <c r="DF18" s="737"/>
      <c r="DG18" s="737"/>
      <c r="DH18" s="737"/>
      <c r="DI18" s="737"/>
      <c r="DJ18" s="737"/>
      <c r="DK18" s="735"/>
      <c r="DL18" s="735"/>
      <c r="DM18" s="735"/>
      <c r="DN18" s="735"/>
      <c r="DO18" s="735"/>
      <c r="DP18" s="735"/>
      <c r="DQ18" s="735"/>
      <c r="DR18" s="735"/>
      <c r="DS18" s="735"/>
      <c r="DT18" s="735"/>
      <c r="DU18" s="735"/>
      <c r="DV18" s="735"/>
      <c r="DW18" s="735"/>
      <c r="DX18" s="735"/>
      <c r="DY18" s="735"/>
      <c r="DZ18" s="735"/>
      <c r="EA18" s="735"/>
      <c r="EB18" s="735"/>
      <c r="EC18" s="735"/>
      <c r="ED18" s="735"/>
      <c r="EE18" s="735"/>
      <c r="EF18" s="735"/>
      <c r="EG18" s="735"/>
      <c r="EH18" s="735"/>
      <c r="EI18" s="735"/>
      <c r="EJ18" s="735"/>
      <c r="EK18" s="735"/>
      <c r="EL18" s="735"/>
      <c r="EM18" s="735"/>
      <c r="EN18" s="735"/>
      <c r="EO18" s="735"/>
      <c r="EP18" s="735"/>
      <c r="EQ18" s="735"/>
      <c r="ER18" s="735"/>
      <c r="ES18" s="735"/>
      <c r="ET18" s="735"/>
      <c r="EU18" s="735"/>
      <c r="EV18" s="735"/>
      <c r="EW18" s="735"/>
      <c r="EX18" s="735"/>
      <c r="EY18" s="735"/>
      <c r="EZ18" s="735"/>
      <c r="FA18" s="735"/>
      <c r="FB18" s="735"/>
      <c r="FC18" s="735"/>
      <c r="FD18" s="735"/>
      <c r="FE18" s="735"/>
      <c r="FF18" s="735"/>
      <c r="FG18" s="735"/>
      <c r="FH18" s="735"/>
      <c r="FI18" s="735"/>
      <c r="FJ18" s="735"/>
      <c r="FK18" s="735"/>
      <c r="FL18" s="735"/>
      <c r="FM18" s="735"/>
      <c r="FN18" s="735"/>
      <c r="FO18" s="735"/>
      <c r="FP18" s="735"/>
      <c r="FQ18" s="735"/>
      <c r="FR18" s="735"/>
      <c r="FS18" s="735"/>
      <c r="FT18" s="735"/>
      <c r="FU18" s="735"/>
      <c r="FV18" s="735"/>
      <c r="FW18" s="734"/>
      <c r="FX18" s="227"/>
    </row>
    <row r="19" spans="1:184" s="573" customFormat="1" ht="11.25" hidden="1" customHeight="1">
      <c r="B19" s="574"/>
      <c r="E19" s="581"/>
      <c r="F19" s="734"/>
      <c r="G19" s="734"/>
      <c r="H19" s="734"/>
      <c r="I19" s="734"/>
      <c r="J19" s="734"/>
      <c r="K19" s="734"/>
      <c r="L19" s="734"/>
      <c r="M19" s="734"/>
      <c r="N19" s="734"/>
      <c r="O19" s="734"/>
      <c r="P19" s="734"/>
      <c r="Q19" s="734"/>
      <c r="R19" s="734"/>
      <c r="S19" s="734"/>
      <c r="T19" s="734"/>
      <c r="U19" s="736"/>
      <c r="V19" s="736"/>
      <c r="W19" s="736"/>
      <c r="X19" s="736"/>
      <c r="Y19" s="736"/>
      <c r="Z19" s="736"/>
      <c r="AA19" s="736"/>
      <c r="AB19" s="734"/>
      <c r="AC19" s="734"/>
      <c r="AD19" s="734"/>
      <c r="AE19" s="734"/>
      <c r="AF19" s="734"/>
      <c r="AG19" s="734"/>
      <c r="AH19" s="734"/>
      <c r="AI19" s="734"/>
      <c r="AJ19" s="734"/>
      <c r="AK19" s="734"/>
      <c r="AL19" s="734"/>
      <c r="AM19" s="734"/>
      <c r="AN19" s="734"/>
      <c r="AO19" s="734"/>
      <c r="AP19" s="734"/>
      <c r="AQ19" s="734"/>
      <c r="AR19" s="734"/>
      <c r="AS19" s="734"/>
      <c r="AT19" s="734"/>
      <c r="AU19" s="734"/>
      <c r="AV19" s="734"/>
      <c r="AW19" s="734"/>
      <c r="AX19" s="734"/>
      <c r="AY19" s="734"/>
      <c r="AZ19" s="734"/>
      <c r="BA19" s="734"/>
      <c r="BB19" s="734"/>
      <c r="BC19" s="734"/>
      <c r="BD19" s="734"/>
      <c r="BE19" s="734"/>
      <c r="BF19" s="734"/>
      <c r="BG19" s="734"/>
      <c r="BH19" s="734"/>
      <c r="BI19" s="734"/>
      <c r="BJ19" s="734"/>
      <c r="BK19" s="734"/>
      <c r="BL19" s="734"/>
      <c r="BM19" s="734"/>
      <c r="BN19" s="734"/>
      <c r="BO19" s="734"/>
      <c r="BP19" s="734"/>
      <c r="BQ19" s="734"/>
      <c r="BR19" s="734"/>
      <c r="BS19" s="734"/>
      <c r="BT19" s="734"/>
      <c r="BU19" s="734"/>
      <c r="BV19" s="734"/>
      <c r="BW19" s="734"/>
      <c r="BX19" s="734"/>
      <c r="BY19" s="734"/>
      <c r="BZ19" s="734"/>
      <c r="CA19" s="734"/>
      <c r="CB19" s="734"/>
      <c r="CC19" s="734"/>
      <c r="CD19" s="734"/>
      <c r="CE19" s="734"/>
      <c r="CF19" s="734"/>
      <c r="CG19" s="734"/>
      <c r="CH19" s="734"/>
      <c r="CI19" s="734"/>
      <c r="CJ19" s="734"/>
      <c r="CK19" s="734"/>
      <c r="CL19" s="734"/>
      <c r="CM19" s="734"/>
      <c r="CN19" s="734"/>
      <c r="CO19" s="734"/>
      <c r="CP19" s="734"/>
      <c r="CQ19" s="734"/>
      <c r="CR19" s="734"/>
      <c r="CS19" s="734"/>
      <c r="CT19" s="734"/>
      <c r="CU19" s="734"/>
      <c r="CV19" s="734"/>
      <c r="CW19" s="734"/>
      <c r="CX19" s="734"/>
      <c r="CY19" s="734"/>
      <c r="CZ19" s="734"/>
      <c r="DA19" s="734"/>
      <c r="DB19" s="734"/>
      <c r="DC19" s="734"/>
      <c r="DD19" s="734"/>
      <c r="DE19" s="734"/>
      <c r="DF19" s="734"/>
      <c r="DG19" s="734"/>
      <c r="DH19" s="734"/>
      <c r="DI19" s="734"/>
      <c r="DJ19" s="734"/>
      <c r="DK19" s="734"/>
      <c r="DL19" s="734"/>
      <c r="DM19" s="734"/>
      <c r="DN19" s="734"/>
      <c r="DO19" s="734"/>
      <c r="DP19" s="734"/>
      <c r="DQ19" s="734"/>
      <c r="DR19" s="734"/>
      <c r="DS19" s="734"/>
      <c r="DT19" s="734"/>
      <c r="DU19" s="734"/>
      <c r="DV19" s="734"/>
      <c r="DW19" s="734"/>
      <c r="DX19" s="734"/>
      <c r="DY19" s="734"/>
      <c r="DZ19" s="734"/>
      <c r="EA19" s="734"/>
      <c r="EB19" s="734"/>
      <c r="EC19" s="734"/>
      <c r="ED19" s="734"/>
      <c r="EE19" s="734"/>
      <c r="EF19" s="734"/>
      <c r="EG19" s="734"/>
      <c r="EH19" s="734"/>
      <c r="EI19" s="734"/>
      <c r="EJ19" s="734"/>
      <c r="EK19" s="734"/>
      <c r="EL19" s="734"/>
      <c r="EM19" s="734"/>
      <c r="EN19" s="734"/>
      <c r="EO19" s="734"/>
      <c r="EP19" s="734"/>
      <c r="EQ19" s="734"/>
      <c r="ER19" s="734"/>
      <c r="ES19" s="734"/>
      <c r="ET19" s="734"/>
      <c r="EU19" s="734"/>
      <c r="EV19" s="734"/>
      <c r="EW19" s="734"/>
      <c r="EX19" s="734"/>
      <c r="EY19" s="734"/>
      <c r="EZ19" s="734"/>
      <c r="FA19" s="734"/>
      <c r="FB19" s="734"/>
      <c r="FC19" s="734"/>
      <c r="FD19" s="734"/>
      <c r="FE19" s="734"/>
      <c r="FF19" s="734"/>
      <c r="FG19" s="734"/>
      <c r="FH19" s="734"/>
      <c r="FI19" s="734"/>
      <c r="FJ19" s="734"/>
      <c r="FK19" s="734"/>
      <c r="FL19" s="734"/>
      <c r="FM19" s="734"/>
      <c r="FN19" s="734"/>
      <c r="FO19" s="734"/>
      <c r="FP19" s="734"/>
      <c r="FQ19" s="734"/>
      <c r="FR19" s="734"/>
      <c r="FS19" s="734"/>
      <c r="FT19" s="734"/>
      <c r="FU19" s="734"/>
      <c r="FV19" s="734"/>
      <c r="FW19" s="734"/>
      <c r="FX19" s="227"/>
    </row>
    <row r="20" spans="1:184" s="573" customFormat="1" ht="11.25" hidden="1" customHeight="1">
      <c r="B20" s="574"/>
      <c r="E20" s="581"/>
      <c r="F20" s="738" t="s">
        <v>370</v>
      </c>
      <c r="G20" s="739"/>
      <c r="H20" s="740"/>
      <c r="I20" s="740"/>
      <c r="J20" s="740"/>
      <c r="K20" s="740"/>
      <c r="L20" s="740"/>
      <c r="M20" s="740"/>
      <c r="N20" s="740"/>
      <c r="O20" s="739"/>
      <c r="P20" s="739"/>
      <c r="Q20" s="739"/>
      <c r="R20" s="739"/>
      <c r="S20" s="739"/>
      <c r="T20" s="739"/>
      <c r="U20" s="741"/>
      <c r="V20" s="741"/>
      <c r="W20" s="741"/>
      <c r="X20" s="741"/>
      <c r="Y20" s="741"/>
      <c r="Z20" s="741"/>
      <c r="AA20" s="741"/>
      <c r="AB20" s="739"/>
      <c r="AC20" s="740"/>
      <c r="AD20" s="740"/>
      <c r="AE20" s="740"/>
      <c r="AF20" s="740"/>
      <c r="AG20" s="740"/>
      <c r="AH20" s="740"/>
      <c r="AI20" s="740"/>
      <c r="AJ20" s="740"/>
      <c r="AK20" s="740"/>
      <c r="AL20" s="740"/>
      <c r="AM20" s="740"/>
      <c r="AN20" s="740"/>
      <c r="AO20" s="740"/>
      <c r="AP20" s="740"/>
      <c r="AQ20" s="740"/>
      <c r="AR20" s="740"/>
      <c r="AS20" s="740"/>
      <c r="AT20" s="740"/>
      <c r="AU20" s="740"/>
      <c r="AV20" s="740"/>
      <c r="AW20" s="740"/>
      <c r="AX20" s="740"/>
      <c r="AY20" s="740"/>
      <c r="AZ20" s="740"/>
      <c r="BA20" s="740"/>
      <c r="BB20" s="740"/>
      <c r="BC20" s="740"/>
      <c r="BD20" s="740"/>
      <c r="BE20" s="740"/>
      <c r="BF20" s="740"/>
      <c r="BG20" s="740"/>
      <c r="BH20" s="740"/>
      <c r="BI20" s="740"/>
      <c r="BJ20" s="740"/>
      <c r="BK20" s="740"/>
      <c r="BL20" s="740"/>
      <c r="BM20" s="740"/>
      <c r="BN20" s="740"/>
      <c r="BO20" s="740"/>
      <c r="BP20" s="740"/>
      <c r="BQ20" s="740"/>
      <c r="BR20" s="740"/>
      <c r="BS20" s="740"/>
      <c r="BT20" s="740"/>
      <c r="BU20" s="740"/>
      <c r="BV20" s="740"/>
      <c r="BW20" s="740"/>
      <c r="BX20" s="740"/>
      <c r="BY20" s="740"/>
      <c r="BZ20" s="740"/>
      <c r="CA20" s="740"/>
      <c r="CB20" s="740"/>
      <c r="CC20" s="740"/>
      <c r="CD20" s="740"/>
      <c r="CE20" s="740"/>
      <c r="CF20" s="740"/>
      <c r="CG20" s="740"/>
      <c r="CH20" s="740"/>
      <c r="CI20" s="740"/>
      <c r="CJ20" s="740"/>
      <c r="CK20" s="740"/>
      <c r="CL20" s="742"/>
      <c r="CM20" s="742"/>
      <c r="CN20" s="742"/>
      <c r="CO20" s="742"/>
      <c r="CP20" s="742"/>
      <c r="CQ20" s="742"/>
      <c r="CR20" s="742"/>
      <c r="CS20" s="742"/>
      <c r="CT20" s="742"/>
      <c r="CU20" s="742"/>
      <c r="CV20" s="742"/>
      <c r="CW20" s="742"/>
      <c r="CX20" s="742"/>
      <c r="CY20" s="742"/>
      <c r="CZ20" s="742"/>
      <c r="DA20" s="742"/>
      <c r="DB20" s="742"/>
      <c r="DC20" s="742"/>
      <c r="DD20" s="742"/>
      <c r="DE20" s="742"/>
      <c r="DF20" s="742"/>
      <c r="DG20" s="742"/>
      <c r="DH20" s="742"/>
      <c r="DI20" s="742"/>
      <c r="DJ20" s="742"/>
      <c r="DK20" s="742"/>
      <c r="DL20" s="742"/>
      <c r="DM20" s="742"/>
      <c r="DN20" s="742"/>
      <c r="DO20" s="742"/>
      <c r="DP20" s="742"/>
      <c r="DQ20" s="742"/>
      <c r="DR20" s="742"/>
      <c r="DS20" s="742"/>
      <c r="DT20" s="742"/>
      <c r="DU20" s="742"/>
      <c r="DV20" s="742"/>
      <c r="DW20" s="742"/>
      <c r="DX20" s="742"/>
      <c r="DY20" s="742"/>
      <c r="DZ20" s="742"/>
      <c r="EA20" s="742"/>
      <c r="EB20" s="742"/>
      <c r="EC20" s="742"/>
      <c r="ED20" s="742"/>
      <c r="EE20" s="742"/>
      <c r="EF20" s="742"/>
      <c r="EG20" s="742"/>
      <c r="EH20" s="742"/>
      <c r="EI20" s="742"/>
      <c r="EJ20" s="742"/>
      <c r="EK20" s="742"/>
      <c r="EL20" s="742"/>
      <c r="EM20" s="742"/>
      <c r="EN20" s="742"/>
      <c r="EO20" s="742"/>
      <c r="EP20" s="742"/>
      <c r="EQ20" s="742"/>
      <c r="ER20" s="742"/>
      <c r="ES20" s="742"/>
      <c r="ET20" s="742"/>
      <c r="EU20" s="742"/>
      <c r="EV20" s="742"/>
      <c r="EW20" s="742"/>
      <c r="EX20" s="742"/>
      <c r="EY20" s="742"/>
      <c r="EZ20" s="742"/>
      <c r="FA20" s="742"/>
      <c r="FB20" s="742"/>
      <c r="FC20" s="742"/>
      <c r="FD20" s="742"/>
      <c r="FE20" s="742"/>
      <c r="FF20" s="742"/>
      <c r="FG20" s="742"/>
      <c r="FH20" s="742"/>
      <c r="FI20" s="742"/>
      <c r="FJ20" s="742"/>
      <c r="FK20" s="742"/>
      <c r="FL20" s="742"/>
      <c r="FM20" s="742"/>
      <c r="FN20" s="742"/>
      <c r="FO20" s="742"/>
      <c r="FP20" s="742"/>
      <c r="FQ20" s="742"/>
      <c r="FR20" s="742"/>
      <c r="FS20" s="742"/>
      <c r="FT20" s="742"/>
      <c r="FU20" s="742"/>
      <c r="FV20" s="742"/>
      <c r="FW20" s="742"/>
      <c r="FX20" s="227"/>
    </row>
    <row r="21" spans="1:184" s="573" customFormat="1" ht="12" customHeight="1">
      <c r="A21" s="67"/>
      <c r="B21" s="67"/>
      <c r="C21" s="67"/>
      <c r="D21" s="67"/>
      <c r="E21" s="67"/>
      <c r="F21" s="581"/>
      <c r="G21" s="581"/>
      <c r="H21" s="581"/>
      <c r="I21" s="581"/>
      <c r="J21" s="581"/>
      <c r="K21" s="581"/>
      <c r="L21" s="581"/>
      <c r="M21" s="581"/>
      <c r="N21" s="581"/>
      <c r="O21" s="581"/>
      <c r="P21" s="581"/>
      <c r="Q21" s="581"/>
      <c r="R21" s="581"/>
      <c r="S21" s="582"/>
      <c r="T21" s="582"/>
      <c r="U21" s="581"/>
      <c r="V21" s="581"/>
      <c r="W21" s="581"/>
      <c r="X21" s="581"/>
      <c r="Y21" s="581"/>
      <c r="Z21" s="581"/>
      <c r="AA21" s="581"/>
      <c r="AB21" s="581"/>
      <c r="AC21" s="581"/>
      <c r="AD21" s="581"/>
      <c r="AE21" s="581"/>
      <c r="AF21" s="581"/>
      <c r="AG21" s="581"/>
      <c r="AH21" s="581"/>
      <c r="AI21" s="581"/>
      <c r="AJ21" s="581"/>
      <c r="AK21" s="581"/>
      <c r="AL21" s="581"/>
      <c r="AM21" s="581"/>
      <c r="AN21" s="581"/>
      <c r="AO21" s="581"/>
      <c r="AP21" s="581"/>
      <c r="AQ21" s="581"/>
      <c r="AR21" s="581"/>
      <c r="AS21" s="581"/>
      <c r="AT21" s="581"/>
      <c r="AU21" s="581"/>
      <c r="AV21" s="581"/>
      <c r="AW21" s="581"/>
      <c r="AX21" s="581"/>
      <c r="AY21" s="581"/>
      <c r="AZ21" s="581"/>
      <c r="BA21" s="581"/>
      <c r="BB21" s="581"/>
      <c r="BC21" s="581"/>
      <c r="BD21" s="581"/>
      <c r="BE21" s="581"/>
      <c r="BF21" s="581"/>
      <c r="BG21" s="581"/>
      <c r="BH21" s="581"/>
      <c r="BI21" s="581"/>
      <c r="BJ21" s="581"/>
      <c r="BK21" s="581"/>
      <c r="BL21" s="581"/>
      <c r="BM21" s="581"/>
      <c r="BN21" s="581"/>
      <c r="BO21" s="581"/>
      <c r="BP21" s="581"/>
      <c r="BQ21" s="581"/>
      <c r="BR21" s="581"/>
      <c r="BS21" s="581"/>
      <c r="BT21" s="581"/>
      <c r="BU21" s="581"/>
      <c r="BV21" s="581"/>
      <c r="BW21" s="581"/>
      <c r="BX21" s="581"/>
      <c r="BY21" s="581"/>
      <c r="BZ21" s="581"/>
      <c r="CA21" s="581"/>
      <c r="CB21" s="581"/>
      <c r="CC21" s="581"/>
      <c r="CD21" s="581"/>
      <c r="CE21" s="581"/>
      <c r="CF21" s="581"/>
      <c r="CG21" s="581"/>
      <c r="CH21" s="581"/>
      <c r="CI21" s="581"/>
      <c r="CJ21" s="581"/>
      <c r="CK21" s="581"/>
      <c r="CL21" s="581"/>
      <c r="CM21" s="581"/>
      <c r="CN21" s="581"/>
      <c r="CO21" s="581"/>
      <c r="CP21" s="581"/>
      <c r="CQ21" s="581"/>
      <c r="CR21" s="581"/>
      <c r="CS21" s="581"/>
      <c r="CT21" s="581"/>
      <c r="CU21" s="581"/>
      <c r="CV21" s="581"/>
      <c r="CW21" s="581"/>
      <c r="CX21" s="581"/>
      <c r="CY21" s="581"/>
      <c r="CZ21" s="581"/>
      <c r="DA21" s="581"/>
      <c r="DB21" s="581"/>
      <c r="DC21" s="581"/>
      <c r="DD21" s="581"/>
      <c r="DE21" s="581"/>
      <c r="DF21" s="581"/>
      <c r="DG21" s="581"/>
      <c r="DH21" s="581"/>
      <c r="DI21" s="581"/>
      <c r="DJ21" s="581"/>
      <c r="DK21" s="581"/>
      <c r="DL21" s="581"/>
      <c r="DM21" s="581"/>
      <c r="DN21" s="581"/>
      <c r="DO21" s="581"/>
      <c r="DP21" s="581"/>
      <c r="DQ21" s="581"/>
      <c r="DR21" s="581"/>
      <c r="DS21" s="581"/>
      <c r="DT21" s="581"/>
      <c r="DU21" s="581"/>
      <c r="DV21" s="581"/>
      <c r="DW21" s="581"/>
      <c r="DX21" s="581"/>
      <c r="DY21" s="581"/>
      <c r="DZ21" s="581"/>
      <c r="EA21" s="581"/>
      <c r="EB21" s="581"/>
      <c r="EC21" s="581"/>
      <c r="ED21" s="581"/>
      <c r="EE21" s="581"/>
      <c r="EF21" s="581"/>
      <c r="EG21" s="581"/>
      <c r="EH21" s="581"/>
      <c r="EI21" s="581"/>
      <c r="EJ21" s="581"/>
      <c r="EK21" s="581"/>
      <c r="EL21" s="581"/>
      <c r="EM21" s="581"/>
      <c r="EN21" s="581"/>
      <c r="EO21" s="581"/>
      <c r="EP21" s="581"/>
      <c r="EQ21" s="581"/>
      <c r="ER21" s="581"/>
      <c r="ES21" s="581"/>
      <c r="ET21" s="581"/>
      <c r="EU21" s="581"/>
      <c r="EV21" s="581"/>
      <c r="EW21" s="581"/>
      <c r="EX21" s="581"/>
      <c r="EY21" s="581"/>
      <c r="EZ21" s="581"/>
      <c r="FA21" s="581"/>
      <c r="FB21" s="581"/>
      <c r="FC21" s="581"/>
      <c r="FD21" s="581"/>
      <c r="FE21" s="581"/>
      <c r="FF21" s="581"/>
      <c r="FG21" s="581"/>
      <c r="FH21" s="581"/>
      <c r="FI21" s="581"/>
      <c r="FJ21" s="581"/>
      <c r="FK21" s="581"/>
      <c r="FL21" s="581"/>
      <c r="FM21" s="581"/>
      <c r="FN21" s="581"/>
      <c r="FO21" s="581"/>
      <c r="FP21" s="581"/>
      <c r="FQ21" s="581"/>
      <c r="FR21" s="581"/>
      <c r="FS21" s="581"/>
      <c r="FT21" s="581"/>
      <c r="FU21" s="581"/>
      <c r="FV21" s="581"/>
      <c r="FW21" s="581"/>
      <c r="FX21" s="67"/>
      <c r="FY21" s="67"/>
      <c r="FZ21" s="67"/>
      <c r="GA21" s="67"/>
      <c r="GB21" s="67"/>
    </row>
    <row r="22" spans="1:184" s="573" customFormat="1" ht="12" customHeight="1">
      <c r="A22" s="67"/>
      <c r="B22" s="67"/>
      <c r="C22" s="67"/>
      <c r="D22" s="67"/>
      <c r="E22" s="67"/>
      <c r="FX22" s="67"/>
      <c r="FY22" s="67"/>
      <c r="FZ22" s="67"/>
      <c r="GA22" s="67"/>
      <c r="GB22" s="67"/>
    </row>
    <row r="23" spans="1:184" s="575" customFormat="1" ht="12" customHeight="1">
      <c r="A23" s="67"/>
      <c r="B23" s="67"/>
      <c r="C23" s="67"/>
      <c r="D23" s="67"/>
      <c r="E23" s="67"/>
      <c r="O23" s="101"/>
      <c r="P23" s="101"/>
      <c r="Q23" s="101"/>
      <c r="R23" s="101"/>
      <c r="S23" s="101"/>
      <c r="T23" s="101"/>
      <c r="U23" s="101"/>
      <c r="V23" s="101"/>
      <c r="W23" s="101"/>
      <c r="X23" s="101"/>
      <c r="Y23" s="101"/>
      <c r="Z23" s="101"/>
      <c r="AA23" s="101"/>
      <c r="AB23" s="101"/>
      <c r="AC23" s="101"/>
      <c r="AD23" s="101"/>
      <c r="AE23" s="101"/>
      <c r="AF23" s="101"/>
      <c r="AG23" s="101"/>
      <c r="AH23" s="101"/>
      <c r="AI23" s="101"/>
      <c r="AJ23" s="101"/>
      <c r="AK23" s="101"/>
      <c r="AL23" s="101"/>
      <c r="AM23" s="101"/>
      <c r="AN23" s="101"/>
      <c r="AO23" s="101"/>
      <c r="AP23" s="101"/>
      <c r="AQ23" s="101"/>
      <c r="AR23" s="101"/>
      <c r="AS23" s="101"/>
      <c r="AT23" s="101"/>
      <c r="AU23" s="101"/>
      <c r="AV23" s="101"/>
      <c r="AW23" s="101"/>
      <c r="AX23" s="101"/>
      <c r="AY23" s="101"/>
      <c r="AZ23" s="101"/>
      <c r="BA23" s="101"/>
      <c r="BB23" s="101"/>
      <c r="BC23" s="101"/>
      <c r="BD23" s="101"/>
      <c r="BE23" s="101"/>
      <c r="BF23" s="101"/>
      <c r="BG23" s="101"/>
      <c r="BH23" s="101"/>
      <c r="BI23" s="101"/>
      <c r="BJ23" s="101"/>
      <c r="BK23" s="101"/>
      <c r="BL23" s="101"/>
      <c r="BM23" s="101"/>
      <c r="BN23" s="101"/>
      <c r="BO23" s="101"/>
      <c r="BP23" s="101"/>
      <c r="BQ23" s="101"/>
      <c r="BR23" s="101"/>
      <c r="BS23" s="101"/>
      <c r="BT23" s="669"/>
      <c r="BU23" s="669"/>
      <c r="BV23" s="669"/>
      <c r="BW23" s="669"/>
      <c r="BX23" s="669"/>
      <c r="BY23" s="669"/>
      <c r="BZ23" s="669"/>
      <c r="CA23" s="669"/>
      <c r="CB23" s="669"/>
      <c r="CC23" s="669"/>
      <c r="CD23" s="669"/>
      <c r="CE23" s="669"/>
      <c r="CF23" s="669"/>
      <c r="CG23" s="669"/>
      <c r="CH23" s="669"/>
      <c r="CI23" s="669"/>
      <c r="CJ23" s="669"/>
      <c r="CK23" s="669"/>
      <c r="CL23" s="669"/>
      <c r="CM23" s="669"/>
      <c r="CN23" s="669"/>
      <c r="CO23" s="669"/>
      <c r="CP23" s="669"/>
      <c r="CQ23" s="669"/>
      <c r="CR23" s="669"/>
      <c r="CS23" s="669"/>
      <c r="CT23" s="669"/>
      <c r="CU23" s="669"/>
      <c r="CV23" s="669"/>
      <c r="CW23" s="669"/>
      <c r="CX23" s="669"/>
      <c r="CY23" s="669"/>
      <c r="CZ23" s="669"/>
      <c r="DA23" s="669"/>
      <c r="DB23" s="669"/>
      <c r="DC23" s="669"/>
      <c r="DD23" s="669"/>
      <c r="DE23" s="669"/>
      <c r="DF23" s="669"/>
      <c r="DG23" s="669"/>
      <c r="DH23" s="669"/>
      <c r="DI23" s="669"/>
      <c r="DJ23" s="669"/>
      <c r="DK23" s="669"/>
      <c r="DL23" s="669"/>
      <c r="DM23" s="669"/>
      <c r="DN23" s="669"/>
      <c r="DO23" s="669"/>
      <c r="DP23" s="669"/>
      <c r="DQ23" s="669"/>
      <c r="DR23" s="669"/>
      <c r="DS23" s="669"/>
      <c r="DT23" s="669"/>
      <c r="DU23" s="669"/>
      <c r="DV23" s="669"/>
      <c r="DW23" s="669"/>
      <c r="DX23" s="669"/>
      <c r="FX23" s="67"/>
      <c r="FY23" s="67"/>
      <c r="FZ23" s="67"/>
      <c r="GA23" s="67"/>
      <c r="GB23" s="67"/>
    </row>
    <row r="24" spans="1:184" ht="12" customHeight="1">
      <c r="S24" s="67"/>
      <c r="T24" s="67"/>
      <c r="U24" s="67"/>
      <c r="V24" s="67"/>
      <c r="W24" s="67"/>
      <c r="X24" s="67"/>
      <c r="Y24" s="67"/>
      <c r="Z24" s="67"/>
      <c r="AA24" s="67"/>
      <c r="AB24" s="67"/>
      <c r="FX24" s="67"/>
      <c r="FY24" s="67"/>
      <c r="FZ24" s="67"/>
      <c r="GA24" s="67"/>
      <c r="GB24" s="67"/>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F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025A65-0137-9EB6-B05C-401589BE37BA}">
  <sheetPr>
    <tabColor theme="6" tint="0.39997558519241921"/>
  </sheetPr>
  <dimension ref="A1:AP57"/>
  <sheetViews>
    <sheetView showGridLines="0" topLeftCell="P23" workbookViewId="0"/>
  </sheetViews>
  <sheetFormatPr defaultColWidth="10.5703125" defaultRowHeight="14.25" customHeight="1"/>
  <cols>
    <col min="1" max="1" width="10.5703125" style="72" hidden="1"/>
    <col min="2" max="2" width="11" style="72" hidden="1" customWidth="1"/>
    <col min="3" max="3" width="10.5703125" style="72" hidden="1"/>
    <col min="4" max="4" width="11.85546875" style="72" hidden="1" customWidth="1"/>
    <col min="5" max="5" width="10" style="72" hidden="1" customWidth="1"/>
    <col min="6" max="6" width="8.7109375" style="72" hidden="1" customWidth="1"/>
    <col min="7" max="7" width="7.5703125" style="72" hidden="1" customWidth="1"/>
    <col min="8" max="8" width="11.42578125" style="72" hidden="1" customWidth="1"/>
    <col min="9" max="9" width="14.140625" style="72" hidden="1" customWidth="1"/>
    <col min="10" max="10" width="9.85546875" style="72" hidden="1" customWidth="1"/>
    <col min="11" max="11" width="14.7109375" style="72" hidden="1" customWidth="1"/>
    <col min="12" max="12" width="19.140625" style="388" hidden="1" customWidth="1"/>
    <col min="13" max="14" width="12.28515625" style="541" hidden="1" customWidth="1"/>
    <col min="15" max="15" width="23.42578125" style="541" hidden="1" customWidth="1"/>
    <col min="16" max="16" width="3.7109375" style="42" customWidth="1"/>
    <col min="17" max="18" width="3.7109375" style="37" customWidth="1"/>
    <col min="19" max="19" width="12.7109375" style="368" customWidth="1"/>
    <col min="20" max="20" width="35.7109375" style="24" customWidth="1"/>
    <col min="21" max="21" width="0.140625" style="24" customWidth="1"/>
    <col min="22" max="24" width="24.7109375" style="24" hidden="1" customWidth="1"/>
    <col min="25" max="25" width="11.7109375" style="24" hidden="1" customWidth="1"/>
    <col min="26" max="26" width="3.7109375" style="24" hidden="1" customWidth="1"/>
    <col min="27" max="27" width="11.7109375" style="24" hidden="1" customWidth="1"/>
    <col min="28" max="28" width="8.5703125" style="24" hidden="1" customWidth="1"/>
    <col min="29" max="31" width="24.7109375" style="24" customWidth="1"/>
    <col min="32" max="32" width="11.7109375" style="24" customWidth="1"/>
    <col min="33" max="33" width="3.7109375" style="24" customWidth="1"/>
    <col min="34" max="34" width="11.7109375" style="24" customWidth="1"/>
    <col min="35" max="35" width="8.5703125" style="24" hidden="1" customWidth="1"/>
    <col min="36" max="36" width="4.7109375" style="24" customWidth="1"/>
    <col min="37" max="37" width="115.7109375" style="24" customWidth="1"/>
    <col min="38" max="39" width="10.5703125" style="77"/>
    <col min="40" max="40" width="11.140625" style="77" customWidth="1"/>
    <col min="41" max="42" width="10.5703125" style="77"/>
  </cols>
  <sheetData>
    <row r="1" spans="1:42" ht="14.25" hidden="1" customHeight="1"/>
    <row r="2" spans="1:42" ht="23.25" hidden="1" customHeight="1">
      <c r="A2" s="822"/>
      <c r="B2" s="822"/>
      <c r="C2" s="822"/>
      <c r="D2" s="822"/>
      <c r="E2" s="1337">
        <v>1</v>
      </c>
      <c r="F2" s="822"/>
      <c r="G2" s="822"/>
      <c r="H2" s="822"/>
      <c r="I2" s="822"/>
      <c r="J2" s="822"/>
      <c r="K2" s="822"/>
      <c r="L2" s="823"/>
      <c r="M2" s="452"/>
      <c r="N2" s="452"/>
      <c r="O2" s="452"/>
      <c r="Q2" s="43"/>
      <c r="R2" s="220"/>
      <c r="S2" s="755" t="e">
        <f>INDEX(PT_DIFFERENTIATION_NUM_NTAR,MATCH(A2,PT_DIFFERENTIATION_NTAR_ID,0))</f>
        <v>#N/A</v>
      </c>
      <c r="T2" s="76" t="s">
        <v>124</v>
      </c>
      <c r="U2" s="179"/>
      <c r="V2" s="1331"/>
      <c r="W2" s="1332"/>
      <c r="X2" s="1332"/>
      <c r="Y2" s="1332"/>
      <c r="Z2" s="1332"/>
      <c r="AA2" s="1332"/>
      <c r="AB2" s="1333"/>
      <c r="AC2" s="1331" t="e">
        <f>INDEX(PT_DIFFERENTIATION_NTAR,MATCH(A2,PT_DIFFERENTIATION_NTAR_ID,0))</f>
        <v>#N/A</v>
      </c>
      <c r="AD2" s="1332"/>
      <c r="AE2" s="1332"/>
      <c r="AF2" s="1332"/>
      <c r="AG2" s="1332"/>
      <c r="AH2" s="1332"/>
      <c r="AI2" s="1332"/>
      <c r="AJ2" s="1333"/>
      <c r="AK2" s="7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9"/>
      <c r="AN2" s="79" t="str">
        <f t="shared" ref="AN2:AN13" si="0">IF(T2="","",T2)</f>
        <v>Наименование тарифа</v>
      </c>
      <c r="AO2" s="79"/>
      <c r="AP2" s="79"/>
    </row>
    <row r="3" spans="1:42" ht="23.25" hidden="1" customHeight="1">
      <c r="A3" s="822"/>
      <c r="B3" s="822"/>
      <c r="C3" s="822"/>
      <c r="D3" s="822"/>
      <c r="E3" s="1338"/>
      <c r="F3" s="1337">
        <v>1</v>
      </c>
      <c r="G3" s="822"/>
      <c r="H3" s="822"/>
      <c r="I3" s="822"/>
      <c r="J3" s="822"/>
      <c r="K3" s="822"/>
      <c r="L3" s="823"/>
      <c r="M3" s="452"/>
      <c r="N3" s="452"/>
      <c r="O3" s="452"/>
      <c r="P3" s="68"/>
      <c r="Q3" s="217"/>
      <c r="R3" s="218"/>
      <c r="S3" s="755" t="e">
        <f>INDEX(PT_DIFFERENTIATION_NUM_TER,MATCH(B3,PT_DIFFERENTIATION_TER_ID,0))</f>
        <v>#N/A</v>
      </c>
      <c r="T3" s="187" t="s">
        <v>1462</v>
      </c>
      <c r="U3" s="179"/>
      <c r="V3" s="1331"/>
      <c r="W3" s="1332"/>
      <c r="X3" s="1332"/>
      <c r="Y3" s="1332"/>
      <c r="Z3" s="1332"/>
      <c r="AA3" s="1332"/>
      <c r="AB3" s="1333"/>
      <c r="AC3" s="1331" t="e">
        <f>INDEX(PT_DIFFERENTIATION_TER,MATCH(B3,PT_DIFFERENTIATION_TER_ID,0))</f>
        <v>#N/A</v>
      </c>
      <c r="AD3" s="1332"/>
      <c r="AE3" s="1332"/>
      <c r="AF3" s="1332"/>
      <c r="AG3" s="1332"/>
      <c r="AH3" s="1332"/>
      <c r="AI3" s="1332"/>
      <c r="AJ3" s="1333"/>
      <c r="AK3" s="782" t="s">
        <v>1463</v>
      </c>
      <c r="AM3" s="79"/>
      <c r="AN3" s="79" t="str">
        <f t="shared" si="0"/>
        <v>Территория действия тарифа</v>
      </c>
      <c r="AO3" s="79"/>
      <c r="AP3" s="79"/>
    </row>
    <row r="4" spans="1:42" ht="23.25" hidden="1" customHeight="1">
      <c r="A4" s="822"/>
      <c r="B4" s="822"/>
      <c r="C4" s="822"/>
      <c r="D4" s="822"/>
      <c r="E4" s="1338"/>
      <c r="F4" s="1338"/>
      <c r="G4" s="1337">
        <v>1</v>
      </c>
      <c r="H4" s="822"/>
      <c r="I4" s="822"/>
      <c r="J4" s="822"/>
      <c r="K4" s="822"/>
      <c r="L4" s="823"/>
      <c r="M4" s="452"/>
      <c r="N4" s="452"/>
      <c r="O4" s="452"/>
      <c r="P4" s="219"/>
      <c r="Q4" s="217"/>
      <c r="R4" s="218"/>
      <c r="S4" s="755" t="e">
        <f>INDEX(PT_DIFFERENTIATION_NUM_CS,MATCH(C4,PT_DIFFERENTIATION_CS_ID,0))</f>
        <v>#N/A</v>
      </c>
      <c r="T4" s="188" t="s">
        <v>2090</v>
      </c>
      <c r="U4" s="179"/>
      <c r="V4" s="1331"/>
      <c r="W4" s="1332"/>
      <c r="X4" s="1332"/>
      <c r="Y4" s="1332"/>
      <c r="Z4" s="1332"/>
      <c r="AA4" s="1332"/>
      <c r="AB4" s="1333"/>
      <c r="AC4" s="1331" t="e">
        <f>INDEX(PT_DIFFERENTIATION_CS,MATCH(C4,PT_DIFFERENTIATION_CS_ID,0))</f>
        <v>#N/A</v>
      </c>
      <c r="AD4" s="1332"/>
      <c r="AE4" s="1332"/>
      <c r="AF4" s="1332"/>
      <c r="AG4" s="1332"/>
      <c r="AH4" s="1332"/>
      <c r="AI4" s="1332"/>
      <c r="AJ4" s="1333"/>
      <c r="AK4" s="782" t="s">
        <v>2091</v>
      </c>
      <c r="AM4" s="79"/>
      <c r="AN4" s="79" t="str">
        <f t="shared" si="0"/>
        <v>Наименование централизованной системы горячего водоснабжения</v>
      </c>
      <c r="AO4" s="79"/>
      <c r="AP4" s="79"/>
    </row>
    <row r="5" spans="1:42" ht="23.25" hidden="1" customHeight="1">
      <c r="A5" s="822"/>
      <c r="B5" s="822"/>
      <c r="C5" s="822"/>
      <c r="D5" s="822"/>
      <c r="E5" s="1338"/>
      <c r="F5" s="1338"/>
      <c r="G5" s="1338"/>
      <c r="H5" s="1338"/>
      <c r="I5" s="1339" t="e">
        <f>S4&amp;".1"</f>
        <v>#N/A</v>
      </c>
      <c r="J5" s="822"/>
      <c r="K5" s="822"/>
      <c r="L5" s="823"/>
      <c r="P5" s="1259">
        <v>1</v>
      </c>
      <c r="Q5" s="127"/>
      <c r="R5" s="221"/>
      <c r="S5" s="755" t="e">
        <f>$I5</f>
        <v>#N/A</v>
      </c>
      <c r="T5" s="172" t="s">
        <v>1683</v>
      </c>
      <c r="U5" s="179"/>
      <c r="V5" s="1429"/>
      <c r="W5" s="1430"/>
      <c r="X5" s="1430"/>
      <c r="Y5" s="1430"/>
      <c r="Z5" s="1430"/>
      <c r="AA5" s="1430"/>
      <c r="AB5" s="1431"/>
      <c r="AC5" s="1432"/>
      <c r="AD5" s="1433"/>
      <c r="AE5" s="1433"/>
      <c r="AF5" s="1433"/>
      <c r="AG5" s="1433"/>
      <c r="AH5" s="1433"/>
      <c r="AI5" s="1433"/>
      <c r="AJ5" s="1434"/>
      <c r="AK5" s="782" t="s">
        <v>1684</v>
      </c>
      <c r="AM5" s="79"/>
      <c r="AN5" s="79" t="str">
        <f t="shared" si="0"/>
        <v>Наименование признака дифференциации</v>
      </c>
      <c r="AO5" s="79"/>
      <c r="AP5" s="79"/>
    </row>
    <row r="6" spans="1:42" ht="23.25" hidden="1" customHeight="1">
      <c r="A6" s="822"/>
      <c r="B6" s="822"/>
      <c r="C6" s="822"/>
      <c r="D6" s="822"/>
      <c r="E6" s="1338"/>
      <c r="F6" s="1338"/>
      <c r="G6" s="1338"/>
      <c r="H6" s="1338"/>
      <c r="I6" s="1340"/>
      <c r="J6" s="1339" t="e">
        <f>I5&amp;".1"</f>
        <v>#N/A</v>
      </c>
      <c r="K6" s="822"/>
      <c r="L6" s="823" t="s">
        <v>1471</v>
      </c>
      <c r="P6" s="1259"/>
      <c r="Q6" s="1259">
        <v>1</v>
      </c>
      <c r="R6" s="222"/>
      <c r="S6" s="755" t="e">
        <f>$J6</f>
        <v>#N/A</v>
      </c>
      <c r="T6" s="173" t="s">
        <v>1472</v>
      </c>
      <c r="U6" s="179"/>
      <c r="V6" s="1326"/>
      <c r="W6" s="1327"/>
      <c r="X6" s="1327"/>
      <c r="Y6" s="1327"/>
      <c r="Z6" s="1327"/>
      <c r="AA6" s="1327"/>
      <c r="AB6" s="1328"/>
      <c r="AC6" s="1326"/>
      <c r="AD6" s="1327"/>
      <c r="AE6" s="1327"/>
      <c r="AF6" s="1327"/>
      <c r="AG6" s="1327"/>
      <c r="AH6" s="1327"/>
      <c r="AI6" s="1327"/>
      <c r="AJ6" s="1328"/>
      <c r="AK6" s="809" t="s">
        <v>1685</v>
      </c>
      <c r="AM6" s="79"/>
      <c r="AN6" s="79" t="str">
        <f t="shared" si="0"/>
        <v>Группа потребителей</v>
      </c>
      <c r="AO6" s="79"/>
      <c r="AP6" s="79"/>
    </row>
    <row r="7" spans="1:42" ht="23.25" hidden="1" customHeight="1">
      <c r="A7" s="822"/>
      <c r="B7" s="822"/>
      <c r="C7" s="822"/>
      <c r="D7" s="822"/>
      <c r="E7" s="1338"/>
      <c r="F7" s="1338"/>
      <c r="G7" s="1338"/>
      <c r="H7" s="1338"/>
      <c r="I7" s="1340"/>
      <c r="J7" s="1340"/>
      <c r="K7" s="1339" t="e">
        <f>J6&amp;".1"</f>
        <v>#N/A</v>
      </c>
      <c r="L7" s="823"/>
      <c r="P7" s="1259"/>
      <c r="Q7" s="1259"/>
      <c r="R7" s="222">
        <v>1</v>
      </c>
      <c r="S7" s="755" t="e">
        <f>$K7</f>
        <v>#N/A</v>
      </c>
      <c r="T7" s="853"/>
      <c r="U7" s="179"/>
      <c r="V7" s="1054"/>
      <c r="W7" s="1054"/>
      <c r="X7" s="1056"/>
      <c r="Y7" s="1341"/>
      <c r="Z7" s="1133" t="s">
        <v>67</v>
      </c>
      <c r="AA7" s="1341"/>
      <c r="AB7" s="1133" t="s">
        <v>67</v>
      </c>
      <c r="AC7" s="1054"/>
      <c r="AD7" s="1054"/>
      <c r="AE7" s="1056"/>
      <c r="AF7" s="1341"/>
      <c r="AG7" s="1133" t="s">
        <v>67</v>
      </c>
      <c r="AH7" s="1343"/>
      <c r="AI7" s="1133" t="s">
        <v>67</v>
      </c>
      <c r="AJ7" s="1082"/>
      <c r="AK7" s="143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7" t="e">
        <f ca="1">STRCHECKDATE(V8:AJ8)</f>
        <v>#NAME?</v>
      </c>
      <c r="AM7" s="79"/>
      <c r="AN7" s="79" t="str">
        <f t="shared" si="0"/>
        <v/>
      </c>
      <c r="AO7" s="79"/>
      <c r="AP7" s="79"/>
    </row>
    <row r="8" spans="1:42" ht="0.75" hidden="1" customHeight="1">
      <c r="A8" s="822"/>
      <c r="B8" s="822"/>
      <c r="C8" s="822"/>
      <c r="D8" s="822"/>
      <c r="E8" s="1338"/>
      <c r="F8" s="1338"/>
      <c r="G8" s="1338"/>
      <c r="H8" s="1338"/>
      <c r="I8" s="1340"/>
      <c r="J8" s="1340"/>
      <c r="K8" s="1339"/>
      <c r="L8" s="823"/>
      <c r="P8" s="1259"/>
      <c r="Q8" s="1259"/>
      <c r="R8" s="222"/>
      <c r="S8" s="74"/>
      <c r="T8" s="179"/>
      <c r="U8" s="179"/>
      <c r="V8" s="1055"/>
      <c r="W8" s="1055"/>
      <c r="X8" s="1057" t="str">
        <f>Y7&amp;"-"&amp;AA7</f>
        <v>-</v>
      </c>
      <c r="Y8" s="1342"/>
      <c r="Z8" s="1133"/>
      <c r="AA8" s="1342"/>
      <c r="AB8" s="1133"/>
      <c r="AC8" s="1055"/>
      <c r="AD8" s="1055"/>
      <c r="AE8" s="1057" t="str">
        <f>AF7&amp;"-"&amp;AH7</f>
        <v>-</v>
      </c>
      <c r="AF8" s="1342"/>
      <c r="AG8" s="1133"/>
      <c r="AH8" s="1344"/>
      <c r="AI8" s="1133"/>
      <c r="AJ8" s="1083"/>
      <c r="AK8" s="1435"/>
      <c r="AM8" s="79"/>
      <c r="AN8" s="79" t="str">
        <f t="shared" si="0"/>
        <v/>
      </c>
      <c r="AO8" s="79"/>
      <c r="AP8" s="79"/>
    </row>
    <row r="9" spans="1:42" ht="21" hidden="1" customHeight="1">
      <c r="A9" s="822"/>
      <c r="B9" s="822"/>
      <c r="C9" s="822"/>
      <c r="D9" s="822"/>
      <c r="E9" s="1338"/>
      <c r="F9" s="1338"/>
      <c r="G9" s="1338"/>
      <c r="H9" s="1338"/>
      <c r="I9" s="1340"/>
      <c r="J9" s="1339"/>
      <c r="K9" s="822"/>
      <c r="L9" s="823"/>
      <c r="P9" s="1259"/>
      <c r="Q9" s="1259"/>
      <c r="R9" s="221"/>
      <c r="S9" s="796"/>
      <c r="T9" s="174" t="s">
        <v>1686</v>
      </c>
      <c r="U9" s="228"/>
      <c r="V9" s="228"/>
      <c r="W9" s="228"/>
      <c r="X9" s="228"/>
      <c r="Y9" s="228"/>
      <c r="Z9" s="228"/>
      <c r="AA9" s="228"/>
      <c r="AB9" s="228"/>
      <c r="AC9" s="228"/>
      <c r="AD9" s="228"/>
      <c r="AE9" s="228"/>
      <c r="AF9" s="228"/>
      <c r="AG9" s="228"/>
      <c r="AH9" s="228"/>
      <c r="AI9" s="228"/>
      <c r="AJ9" s="228"/>
      <c r="AK9" s="782" t="s">
        <v>1687</v>
      </c>
      <c r="AM9" s="79"/>
      <c r="AN9" s="79" t="str">
        <f t="shared" si="0"/>
        <v>Добавить значение признака дифференциации</v>
      </c>
      <c r="AO9" s="79"/>
      <c r="AP9" s="79"/>
    </row>
    <row r="10" spans="1:42" ht="21" hidden="1" customHeight="1">
      <c r="A10" s="822"/>
      <c r="B10" s="822"/>
      <c r="C10" s="822"/>
      <c r="D10" s="822"/>
      <c r="E10" s="1338"/>
      <c r="F10" s="1338"/>
      <c r="G10" s="1338"/>
      <c r="H10" s="1338"/>
      <c r="I10" s="1339"/>
      <c r="J10" s="822"/>
      <c r="K10" s="822"/>
      <c r="L10" s="823"/>
      <c r="P10" s="1259"/>
      <c r="Q10" s="127"/>
      <c r="R10" s="221"/>
      <c r="S10" s="796"/>
      <c r="T10" s="226" t="s">
        <v>1477</v>
      </c>
      <c r="U10" s="228"/>
      <c r="V10" s="228"/>
      <c r="W10" s="228"/>
      <c r="X10" s="228"/>
      <c r="Y10" s="228"/>
      <c r="Z10" s="228"/>
      <c r="AA10" s="228"/>
      <c r="AB10" s="205"/>
      <c r="AC10" s="228"/>
      <c r="AD10" s="228"/>
      <c r="AE10" s="228"/>
      <c r="AF10" s="228"/>
      <c r="AG10" s="228"/>
      <c r="AH10" s="228"/>
      <c r="AI10" s="205"/>
      <c r="AJ10" s="228"/>
      <c r="AK10" s="854"/>
      <c r="AM10" s="79"/>
      <c r="AN10" s="79" t="str">
        <f t="shared" si="0"/>
        <v>Добавить группу потребителей</v>
      </c>
      <c r="AO10" s="79"/>
      <c r="AP10" s="79"/>
    </row>
    <row r="11" spans="1:42" ht="21" hidden="1" customHeight="1">
      <c r="A11" s="822"/>
      <c r="B11" s="822"/>
      <c r="C11" s="822"/>
      <c r="D11" s="822"/>
      <c r="E11" s="1338"/>
      <c r="F11" s="1338"/>
      <c r="G11" s="1338"/>
      <c r="H11" s="1337"/>
      <c r="I11" s="822"/>
      <c r="J11" s="822"/>
      <c r="K11" s="822"/>
      <c r="L11" s="823"/>
      <c r="M11" s="452"/>
      <c r="N11" s="452"/>
      <c r="O11" s="72"/>
      <c r="P11" s="43"/>
      <c r="Q11" s="231"/>
      <c r="R11" s="220"/>
      <c r="S11" s="796"/>
      <c r="T11" s="113" t="s">
        <v>1688</v>
      </c>
      <c r="U11" s="228"/>
      <c r="V11" s="228"/>
      <c r="W11" s="228"/>
      <c r="X11" s="228"/>
      <c r="Y11" s="228"/>
      <c r="Z11" s="228"/>
      <c r="AA11" s="228"/>
      <c r="AB11" s="205"/>
      <c r="AC11" s="228"/>
      <c r="AD11" s="228"/>
      <c r="AE11" s="228"/>
      <c r="AF11" s="228"/>
      <c r="AG11" s="228"/>
      <c r="AH11" s="228"/>
      <c r="AI11" s="205"/>
      <c r="AJ11" s="228"/>
      <c r="AK11" s="182"/>
      <c r="AM11" s="79"/>
      <c r="AN11" s="79" t="str">
        <f t="shared" si="0"/>
        <v>Добавить наименование признака дифференциации</v>
      </c>
      <c r="AO11" s="79"/>
      <c r="AP11" s="79"/>
    </row>
    <row r="12" spans="1:42" s="77" customFormat="1" ht="0.75" hidden="1" customHeight="1">
      <c r="A12" s="150"/>
      <c r="B12" s="150"/>
      <c r="C12" s="150"/>
      <c r="D12" s="150"/>
      <c r="E12" s="1338"/>
      <c r="F12" s="1337"/>
      <c r="G12" s="150"/>
      <c r="H12" s="150"/>
      <c r="I12" s="150"/>
      <c r="J12" s="150"/>
      <c r="K12" s="150"/>
      <c r="L12" s="373"/>
      <c r="M12" s="815"/>
      <c r="N12" s="815"/>
      <c r="P12" s="111"/>
      <c r="Q12" s="811"/>
      <c r="R12" s="111"/>
      <c r="S12" s="816"/>
      <c r="T12" s="818" t="s">
        <v>1438</v>
      </c>
      <c r="U12" s="338"/>
      <c r="V12" s="338"/>
      <c r="W12" s="338"/>
      <c r="X12" s="338"/>
      <c r="Y12" s="338"/>
      <c r="Z12" s="338"/>
      <c r="AA12" s="338"/>
      <c r="AB12" s="338"/>
      <c r="AC12" s="338"/>
      <c r="AD12" s="338"/>
      <c r="AE12" s="338"/>
      <c r="AF12" s="338"/>
      <c r="AG12" s="338"/>
      <c r="AH12" s="338"/>
      <c r="AI12" s="338"/>
      <c r="AJ12" s="338"/>
      <c r="AK12" s="338"/>
      <c r="AM12" s="79"/>
      <c r="AN12" s="79" t="str">
        <f t="shared" si="0"/>
        <v>Добавить централизованную систему для дифференциации</v>
      </c>
      <c r="AO12" s="79"/>
      <c r="AP12" s="79"/>
    </row>
    <row r="13" spans="1:42" s="77" customFormat="1" ht="0.75" hidden="1" customHeight="1">
      <c r="A13" s="150"/>
      <c r="B13" s="150"/>
      <c r="C13" s="150"/>
      <c r="D13" s="150"/>
      <c r="E13" s="1337"/>
      <c r="F13" s="150"/>
      <c r="G13" s="150"/>
      <c r="H13" s="150"/>
      <c r="I13" s="150"/>
      <c r="J13" s="150"/>
      <c r="K13" s="150"/>
      <c r="L13" s="373"/>
      <c r="M13" s="815"/>
      <c r="N13" s="815"/>
      <c r="P13" s="111"/>
      <c r="Q13" s="811"/>
      <c r="R13" s="111"/>
      <c r="S13" s="816"/>
      <c r="T13" s="818" t="s">
        <v>1439</v>
      </c>
      <c r="U13" s="338"/>
      <c r="V13" s="338"/>
      <c r="W13" s="338"/>
      <c r="X13" s="338"/>
      <c r="Y13" s="338"/>
      <c r="Z13" s="338"/>
      <c r="AA13" s="338"/>
      <c r="AB13" s="338"/>
      <c r="AC13" s="338"/>
      <c r="AD13" s="338"/>
      <c r="AE13" s="338"/>
      <c r="AF13" s="338"/>
      <c r="AG13" s="338"/>
      <c r="AH13" s="338"/>
      <c r="AI13" s="338"/>
      <c r="AJ13" s="338"/>
      <c r="AK13" s="338"/>
      <c r="AM13" s="79"/>
      <c r="AN13" s="79" t="str">
        <f t="shared" si="0"/>
        <v>Добавить территорию для дифференциации</v>
      </c>
      <c r="AO13" s="79"/>
      <c r="AP13" s="79"/>
    </row>
    <row r="14" spans="1:42" ht="14.25" hidden="1" customHeight="1"/>
    <row r="15" spans="1:42" ht="14.25" hidden="1" customHeight="1">
      <c r="AC15" s="1058"/>
      <c r="AD15" s="1058"/>
      <c r="AE15" s="1059"/>
      <c r="AF15" s="1335"/>
      <c r="AG15" s="1334" t="s">
        <v>67</v>
      </c>
      <c r="AH15" s="1335"/>
      <c r="AI15" s="1334" t="s">
        <v>67</v>
      </c>
    </row>
    <row r="16" spans="1:42" ht="14.25" hidden="1" customHeight="1">
      <c r="AC16" s="1058"/>
      <c r="AD16" s="1058"/>
      <c r="AE16" s="1057" t="str">
        <f>AF15&amp;"-"&amp;AH15</f>
        <v>-</v>
      </c>
      <c r="AF16" s="1334"/>
      <c r="AG16" s="1334"/>
      <c r="AH16" s="1334"/>
      <c r="AI16" s="1334"/>
    </row>
    <row r="17" spans="1:42" ht="14.25" hidden="1" customHeight="1"/>
    <row r="18" spans="1:42" s="72" customFormat="1" ht="14.25" hidden="1" customHeight="1">
      <c r="L18" s="388"/>
      <c r="M18" s="541"/>
      <c r="N18" s="541"/>
      <c r="O18" s="824" t="s">
        <v>1479</v>
      </c>
      <c r="P18" s="541"/>
      <c r="Q18" s="825"/>
      <c r="R18" s="825"/>
      <c r="S18" s="452"/>
      <c r="Y18" s="824"/>
      <c r="AA18" s="824"/>
      <c r="AF18" s="824"/>
      <c r="AH18" s="824"/>
      <c r="AL18" s="77"/>
      <c r="AM18" s="77"/>
      <c r="AN18" s="77"/>
      <c r="AO18" s="77"/>
      <c r="AP18" s="77"/>
    </row>
    <row r="19" spans="1:42" s="72" customFormat="1" ht="14.25" hidden="1" customHeight="1">
      <c r="L19" s="388"/>
      <c r="M19" s="541"/>
      <c r="N19" s="541"/>
      <c r="O19" s="541"/>
      <c r="P19" s="541"/>
      <c r="Q19" s="825"/>
      <c r="R19" s="825"/>
      <c r="S19" s="452"/>
      <c r="AL19" s="77"/>
      <c r="AM19" s="77"/>
      <c r="AN19" s="77"/>
      <c r="AO19" s="77"/>
      <c r="AP19" s="77"/>
    </row>
    <row r="20" spans="1:42" s="72" customFormat="1" ht="12" hidden="1" customHeight="1">
      <c r="L20" s="388"/>
      <c r="M20" s="541"/>
      <c r="N20" s="541"/>
      <c r="O20" s="823" t="s">
        <v>1480</v>
      </c>
      <c r="P20" s="541"/>
      <c r="Q20" s="855"/>
      <c r="R20" s="855"/>
      <c r="S20" s="452"/>
      <c r="T20" s="72" t="s">
        <v>1481</v>
      </c>
      <c r="Z20" s="91" t="s">
        <v>1482</v>
      </c>
      <c r="AB20" s="91" t="s">
        <v>1483</v>
      </c>
      <c r="AC20" s="72" t="s">
        <v>1481</v>
      </c>
      <c r="AG20" s="91" t="s">
        <v>1484</v>
      </c>
      <c r="AI20" s="91" t="s">
        <v>1483</v>
      </c>
    </row>
    <row r="21" spans="1:42" ht="14.25" hidden="1" customHeight="1">
      <c r="O21" s="823"/>
    </row>
    <row r="22" spans="1:42" ht="14.25" hidden="1" customHeight="1">
      <c r="O22" s="823"/>
    </row>
    <row r="23" spans="1:42" ht="14.25" customHeight="1">
      <c r="Q23" s="36"/>
      <c r="R23" s="36"/>
      <c r="S23" s="793"/>
      <c r="T23" s="25"/>
      <c r="U23" s="25"/>
    </row>
    <row r="24" spans="1:42" ht="32.25" customHeight="1">
      <c r="Q24" s="36"/>
      <c r="R24" s="36"/>
      <c r="S24" s="1181" t="str">
        <f>IF(TEMPLATE_GROUP="P",PT_P_FORM_HOTVSNA_4_NAME_FORM,PT_R_FORM_HOTVSNA_16_NAME_FORM)</f>
        <v>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v>
      </c>
      <c r="T24" s="1181"/>
      <c r="U24" s="1181"/>
      <c r="V24" s="1181"/>
      <c r="W24" s="1181"/>
      <c r="X24" s="1181"/>
      <c r="Y24" s="1181"/>
      <c r="Z24" s="1181"/>
      <c r="AA24" s="1181"/>
      <c r="AB24" s="1181"/>
      <c r="AC24" s="1181"/>
      <c r="AD24" s="1181"/>
      <c r="AE24" s="1181"/>
      <c r="AF24" s="1181"/>
      <c r="AG24" s="1181"/>
      <c r="AH24" s="1181"/>
      <c r="AI24" s="69"/>
    </row>
    <row r="25" spans="1:42" ht="14.25" customHeight="1">
      <c r="Q25" s="36"/>
      <c r="R25" s="36"/>
      <c r="S25" s="1204" t="str">
        <f>IF(org=0,"Не определено",org)</f>
        <v>ООО "ТЕПЛО ПЛЮС"</v>
      </c>
      <c r="T25" s="1204"/>
      <c r="U25" s="1204"/>
      <c r="V25" s="1204"/>
      <c r="W25" s="1204"/>
      <c r="X25" s="1204"/>
      <c r="Y25" s="1204"/>
      <c r="Z25" s="1204"/>
      <c r="AA25" s="1204"/>
      <c r="AB25" s="1204"/>
      <c r="AC25" s="1204"/>
      <c r="AD25" s="1204"/>
      <c r="AE25" s="1204"/>
      <c r="AF25" s="1204"/>
      <c r="AG25" s="1204"/>
      <c r="AH25" s="1204"/>
      <c r="AI25" s="69"/>
    </row>
    <row r="26" spans="1:42" ht="14.25" hidden="1" customHeight="1">
      <c r="Q26" s="36"/>
      <c r="R26" s="36"/>
      <c r="S26" s="793"/>
      <c r="T26" s="25"/>
      <c r="U26" s="25"/>
      <c r="V26" s="202"/>
      <c r="W26" s="202"/>
      <c r="X26" s="202"/>
      <c r="Y26" s="202"/>
      <c r="Z26" s="202"/>
      <c r="AA26" s="202"/>
      <c r="AB26" s="202"/>
      <c r="AC26" s="202"/>
      <c r="AD26" s="202"/>
      <c r="AE26" s="202"/>
      <c r="AF26" s="202"/>
      <c r="AG26" s="202"/>
      <c r="AH26" s="202"/>
      <c r="AI26" s="202"/>
    </row>
    <row r="27" spans="1:42" s="44" customFormat="1" ht="25.5" hidden="1" customHeight="1">
      <c r="A27" s="91"/>
      <c r="B27" s="91"/>
      <c r="C27" s="91"/>
      <c r="D27" s="91"/>
      <c r="E27" s="91"/>
      <c r="F27" s="91"/>
      <c r="G27" s="91"/>
      <c r="H27" s="91"/>
      <c r="I27" s="91"/>
      <c r="J27" s="91"/>
      <c r="K27" s="91"/>
      <c r="L27" s="823"/>
      <c r="M27" s="91"/>
      <c r="N27" s="91"/>
      <c r="O27" s="91"/>
      <c r="S27" s="1329" t="s">
        <v>39</v>
      </c>
      <c r="T27" s="1329"/>
      <c r="U27" s="826"/>
      <c r="V27" s="1330" t="str">
        <f>IF(TITLE_NAME_OR_PR_CHANGE="",IF(TITLE_NAME_OR_PR="","",TITLE_NAME_OR_PR),TITLE_NAME_OR_PR_CHANGE)</f>
        <v/>
      </c>
      <c r="W27" s="1330"/>
      <c r="X27" s="1330"/>
      <c r="Y27" s="1330"/>
      <c r="Z27" s="1330"/>
      <c r="AA27" s="1330"/>
      <c r="AB27" s="24"/>
      <c r="AC27" s="1330" t="str">
        <f>IF(TITLE_NAME_OR_PR_CHANGE="",IF(TITLE_NAME_OR_PR="","",TITLE_NAME_OR_PR),TITLE_NAME_OR_PR_CHANGE)</f>
        <v/>
      </c>
      <c r="AD27" s="1330"/>
      <c r="AE27" s="1330"/>
      <c r="AF27" s="1330"/>
      <c r="AG27" s="1330"/>
      <c r="AH27" s="1330"/>
      <c r="AI27" s="24"/>
      <c r="AJ27" s="24"/>
      <c r="AK27" s="171"/>
      <c r="AL27" s="79"/>
      <c r="AM27" s="79"/>
      <c r="AN27" s="79"/>
      <c r="AO27" s="79"/>
      <c r="AP27" s="79"/>
    </row>
    <row r="28" spans="1:42" s="44" customFormat="1" ht="18.75" hidden="1" customHeight="1">
      <c r="A28" s="91"/>
      <c r="B28" s="91"/>
      <c r="C28" s="91"/>
      <c r="D28" s="91"/>
      <c r="E28" s="91"/>
      <c r="F28" s="91"/>
      <c r="G28" s="91"/>
      <c r="H28" s="91"/>
      <c r="I28" s="91"/>
      <c r="J28" s="91"/>
      <c r="K28" s="91"/>
      <c r="L28" s="823"/>
      <c r="M28" s="91"/>
      <c r="N28" s="91"/>
      <c r="O28" s="91"/>
      <c r="S28" s="1329" t="s">
        <v>1485</v>
      </c>
      <c r="T28" s="1329"/>
      <c r="U28" s="826"/>
      <c r="V28" s="1330" t="str">
        <f>IF(TITLE_DATE_CHANGE_PERIOD="",IF(TITLE_DATE_PR="","",TITLE_DATE_PR),TITLE_DATE_CHANGE_PERIOD)</f>
        <v/>
      </c>
      <c r="W28" s="1330"/>
      <c r="X28" s="1330"/>
      <c r="Y28" s="1330"/>
      <c r="Z28" s="1330"/>
      <c r="AA28" s="1330"/>
      <c r="AB28" s="24"/>
      <c r="AC28" s="1330" t="str">
        <f>IF(TITLE_DATE_CHANGE_PERIOD="",IF(TITLE_DATE_PR="","",TITLE_DATE_PR),TITLE_DATE_CHANGE_PERIOD)</f>
        <v/>
      </c>
      <c r="AD28" s="1330"/>
      <c r="AE28" s="1330"/>
      <c r="AF28" s="1330"/>
      <c r="AG28" s="1330"/>
      <c r="AH28" s="1330"/>
      <c r="AI28" s="24"/>
      <c r="AJ28" s="24"/>
      <c r="AK28" s="171"/>
      <c r="AL28" s="79"/>
      <c r="AM28" s="79"/>
      <c r="AN28" s="79"/>
      <c r="AO28" s="79"/>
      <c r="AP28" s="79"/>
    </row>
    <row r="29" spans="1:42" s="44" customFormat="1" ht="18.75" hidden="1" customHeight="1">
      <c r="A29" s="91"/>
      <c r="B29" s="91"/>
      <c r="C29" s="91"/>
      <c r="D29" s="91"/>
      <c r="E29" s="91"/>
      <c r="F29" s="91"/>
      <c r="G29" s="91"/>
      <c r="H29" s="91"/>
      <c r="I29" s="91"/>
      <c r="J29" s="91"/>
      <c r="K29" s="91"/>
      <c r="L29" s="823"/>
      <c r="M29" s="91"/>
      <c r="N29" s="91"/>
      <c r="O29" s="91"/>
      <c r="S29" s="1329" t="s">
        <v>1486</v>
      </c>
      <c r="T29" s="1329"/>
      <c r="U29" s="826"/>
      <c r="V29" s="1330" t="str">
        <f>IF(TITLE_NUMBER_PR_CHANGE="",IF(TITLE_NUMBER_PR="","",TITLE_NUMBER_PR),TITLE_NUMBER_PR_CHANGE)</f>
        <v/>
      </c>
      <c r="W29" s="1330"/>
      <c r="X29" s="1330"/>
      <c r="Y29" s="1330"/>
      <c r="Z29" s="1330"/>
      <c r="AA29" s="1330"/>
      <c r="AB29" s="24"/>
      <c r="AC29" s="1330" t="str">
        <f>IF(TITLE_NUMBER_PR_CHANGE="",IF(TITLE_NUMBER_PR="","",TITLE_NUMBER_PR),TITLE_NUMBER_PR_CHANGE)</f>
        <v/>
      </c>
      <c r="AD29" s="1330"/>
      <c r="AE29" s="1330"/>
      <c r="AF29" s="1330"/>
      <c r="AG29" s="1330"/>
      <c r="AH29" s="1330"/>
      <c r="AI29" s="24"/>
      <c r="AJ29" s="24"/>
      <c r="AK29" s="171"/>
      <c r="AL29" s="79"/>
      <c r="AM29" s="79"/>
      <c r="AN29" s="79"/>
      <c r="AO29" s="79"/>
      <c r="AP29" s="79"/>
    </row>
    <row r="30" spans="1:42" s="44" customFormat="1" ht="18.75" hidden="1" customHeight="1">
      <c r="A30" s="91"/>
      <c r="B30" s="91"/>
      <c r="C30" s="91"/>
      <c r="D30" s="91"/>
      <c r="E30" s="91"/>
      <c r="F30" s="91"/>
      <c r="G30" s="91"/>
      <c r="H30" s="91"/>
      <c r="I30" s="91"/>
      <c r="J30" s="91"/>
      <c r="K30" s="91"/>
      <c r="L30" s="823"/>
      <c r="M30" s="91"/>
      <c r="N30" s="91"/>
      <c r="O30" s="91"/>
      <c r="S30" s="1329" t="s">
        <v>40</v>
      </c>
      <c r="T30" s="1329"/>
      <c r="U30" s="826"/>
      <c r="V30" s="1330" t="str">
        <f>IF(TITLE_IST_PUB_CHANGE="",IF(TITLE_IST_PUB="","",TITLE_IST_PUB),TITLE_IST_PUB_CHANGE)</f>
        <v/>
      </c>
      <c r="W30" s="1330"/>
      <c r="X30" s="1330"/>
      <c r="Y30" s="1330"/>
      <c r="Z30" s="1330"/>
      <c r="AA30" s="1330"/>
      <c r="AB30" s="24"/>
      <c r="AC30" s="1330" t="str">
        <f>IF(TITLE_IST_PUB_CHANGE="",IF(TITLE_IST_PUB="","",TITLE_IST_PUB),TITLE_IST_PUB_CHANGE)</f>
        <v/>
      </c>
      <c r="AD30" s="1330"/>
      <c r="AE30" s="1330"/>
      <c r="AF30" s="1330"/>
      <c r="AG30" s="1330"/>
      <c r="AH30" s="1330"/>
      <c r="AI30" s="24"/>
      <c r="AJ30" s="24"/>
      <c r="AK30" s="171"/>
      <c r="AL30" s="79"/>
      <c r="AM30" s="79"/>
      <c r="AN30" s="79"/>
      <c r="AO30" s="79"/>
      <c r="AP30" s="79"/>
    </row>
    <row r="31" spans="1:42" ht="14.25" hidden="1" customHeight="1">
      <c r="Q31" s="36"/>
      <c r="R31" s="36"/>
      <c r="S31" s="793"/>
      <c r="T31" s="25"/>
      <c r="U31" s="25"/>
      <c r="V31" s="202"/>
      <c r="W31" s="202"/>
      <c r="X31" s="202"/>
      <c r="Y31" s="202"/>
      <c r="Z31" s="202"/>
      <c r="AA31" s="202"/>
      <c r="AB31" s="202"/>
      <c r="AC31" s="202"/>
      <c r="AD31" s="202"/>
      <c r="AE31" s="202"/>
      <c r="AF31" s="202"/>
      <c r="AG31" s="202"/>
      <c r="AH31" s="202"/>
      <c r="AI31" s="202"/>
    </row>
    <row r="32" spans="1:42" s="44" customFormat="1" ht="18.75" hidden="1" customHeight="1">
      <c r="A32" s="91"/>
      <c r="B32" s="91"/>
      <c r="C32" s="91"/>
      <c r="D32" s="91"/>
      <c r="E32" s="91"/>
      <c r="F32" s="91"/>
      <c r="G32" s="91"/>
      <c r="H32" s="91"/>
      <c r="I32" s="91"/>
      <c r="J32" s="91"/>
      <c r="K32" s="91"/>
      <c r="L32" s="823"/>
      <c r="M32" s="91"/>
      <c r="N32" s="91"/>
      <c r="O32" s="91"/>
      <c r="S32" s="1329" t="s">
        <v>1487</v>
      </c>
      <c r="T32" s="1329"/>
      <c r="U32" s="826"/>
      <c r="V32" s="1330" t="str">
        <f>IF(TITLE_DATE_CHANGE_PERIOD="",IF(TITLE_DATE_PR="","",TITLE_DATE_PR),TITLE_DATE_CHANGE_PERIOD)</f>
        <v/>
      </c>
      <c r="W32" s="1330"/>
      <c r="X32" s="1330"/>
      <c r="Y32" s="1330"/>
      <c r="Z32" s="1330"/>
      <c r="AA32" s="1330"/>
      <c r="AB32" s="24"/>
      <c r="AC32" s="1330" t="str">
        <f>IF(TITLE_DATE_CHANGE_PERIOD="",IF(TITLE_DATE_PR="","",TITLE_DATE_PR),TITLE_DATE_CHANGE_PERIOD)</f>
        <v/>
      </c>
      <c r="AD32" s="1330"/>
      <c r="AE32" s="1330"/>
      <c r="AF32" s="1330"/>
      <c r="AG32" s="1330"/>
      <c r="AH32" s="1330"/>
      <c r="AI32" s="24"/>
      <c r="AJ32" s="24"/>
      <c r="AK32" s="171"/>
      <c r="AL32" s="79"/>
      <c r="AM32" s="79"/>
      <c r="AN32" s="79"/>
      <c r="AO32" s="79"/>
      <c r="AP32" s="79"/>
    </row>
    <row r="33" spans="1:42" s="44" customFormat="1" ht="18.75" hidden="1" customHeight="1">
      <c r="A33" s="91"/>
      <c r="B33" s="91"/>
      <c r="C33" s="91"/>
      <c r="D33" s="91"/>
      <c r="E33" s="91"/>
      <c r="F33" s="91"/>
      <c r="G33" s="91"/>
      <c r="H33" s="91"/>
      <c r="I33" s="91"/>
      <c r="J33" s="91"/>
      <c r="K33" s="91"/>
      <c r="L33" s="823"/>
      <c r="M33" s="91"/>
      <c r="N33" s="91"/>
      <c r="O33" s="91"/>
      <c r="S33" s="1329" t="s">
        <v>1488</v>
      </c>
      <c r="T33" s="1329"/>
      <c r="U33" s="826"/>
      <c r="V33" s="1330" t="str">
        <f>IF(TITLE_NUMBER_PR_CHANGE="",IF(TITLE_NUMBER_PR="","",TITLE_NUMBER_PR),TITLE_NUMBER_PR_CHANGE)</f>
        <v/>
      </c>
      <c r="W33" s="1330"/>
      <c r="X33" s="1330"/>
      <c r="Y33" s="1330"/>
      <c r="Z33" s="1330"/>
      <c r="AA33" s="1330"/>
      <c r="AB33" s="24"/>
      <c r="AC33" s="1330" t="str">
        <f>IF(TITLE_NUMBER_PR_CHANGE="",IF(TITLE_NUMBER_PR="","",TITLE_NUMBER_PR),TITLE_NUMBER_PR_CHANGE)</f>
        <v/>
      </c>
      <c r="AD33" s="1330"/>
      <c r="AE33" s="1330"/>
      <c r="AF33" s="1330"/>
      <c r="AG33" s="1330"/>
      <c r="AH33" s="1330"/>
      <c r="AI33" s="24"/>
      <c r="AJ33" s="24"/>
      <c r="AK33" s="171"/>
      <c r="AL33" s="79"/>
      <c r="AM33" s="79"/>
      <c r="AN33" s="79"/>
      <c r="AO33" s="79"/>
      <c r="AP33" s="79"/>
    </row>
    <row r="34" spans="1:42" s="44" customFormat="1" ht="0.75" customHeight="1">
      <c r="A34" s="91"/>
      <c r="B34" s="91"/>
      <c r="C34" s="91"/>
      <c r="D34" s="91"/>
      <c r="E34" s="91"/>
      <c r="F34" s="91"/>
      <c r="G34" s="91"/>
      <c r="H34" s="91"/>
      <c r="I34" s="91"/>
      <c r="J34" s="91"/>
      <c r="K34" s="91"/>
      <c r="L34" s="823"/>
      <c r="M34" s="91"/>
      <c r="N34" s="91"/>
      <c r="O34" s="91"/>
      <c r="S34" s="24"/>
      <c r="T34" s="24"/>
      <c r="U34" s="87"/>
      <c r="V34" s="24"/>
      <c r="W34" s="24"/>
      <c r="X34" s="24"/>
      <c r="Y34" s="24"/>
      <c r="Z34" s="24"/>
      <c r="AA34" s="24"/>
      <c r="AB34" s="77" t="s">
        <v>1489</v>
      </c>
      <c r="AC34" s="24"/>
      <c r="AD34" s="24"/>
      <c r="AE34" s="24"/>
      <c r="AF34" s="24"/>
      <c r="AG34" s="24"/>
      <c r="AH34" s="24"/>
      <c r="AI34" s="77" t="s">
        <v>1489</v>
      </c>
      <c r="AL34" s="79"/>
      <c r="AM34" s="79"/>
      <c r="AN34" s="79"/>
      <c r="AO34" s="79"/>
      <c r="AP34" s="79"/>
    </row>
    <row r="35" spans="1:42" ht="14.25" customHeight="1">
      <c r="Q35" s="36"/>
      <c r="R35" s="36"/>
      <c r="S35" s="793"/>
      <c r="T35" s="25"/>
      <c r="U35" s="766"/>
      <c r="V35" s="1348"/>
      <c r="W35" s="1348"/>
      <c r="X35" s="1348"/>
      <c r="Y35" s="1348"/>
      <c r="Z35" s="1348"/>
      <c r="AA35" s="1348"/>
      <c r="AB35" s="1348"/>
      <c r="AC35" s="1348"/>
      <c r="AD35" s="1348"/>
      <c r="AE35" s="1348"/>
      <c r="AF35" s="1348"/>
      <c r="AG35" s="1348"/>
      <c r="AH35" s="1348"/>
      <c r="AI35" s="1348"/>
    </row>
    <row r="36" spans="1:42" ht="14.25" customHeight="1">
      <c r="Q36" s="36"/>
      <c r="R36" s="36"/>
      <c r="S36" s="1123" t="s">
        <v>292</v>
      </c>
      <c r="T36" s="1123"/>
      <c r="U36" s="1123"/>
      <c r="V36" s="1123"/>
      <c r="W36" s="1123"/>
      <c r="X36" s="1123"/>
      <c r="Y36" s="1123"/>
      <c r="Z36" s="1123"/>
      <c r="AA36" s="1123"/>
      <c r="AB36" s="1123"/>
      <c r="AC36" s="1123"/>
      <c r="AD36" s="1123"/>
      <c r="AE36" s="1123"/>
      <c r="AF36" s="1123"/>
      <c r="AG36" s="1123"/>
      <c r="AH36" s="1123"/>
      <c r="AI36" s="1123"/>
      <c r="AJ36" s="1123"/>
      <c r="AK36" s="1123" t="s">
        <v>293</v>
      </c>
    </row>
    <row r="37" spans="1:42" ht="14.25" customHeight="1">
      <c r="Q37" s="36"/>
      <c r="R37" s="36"/>
      <c r="S37" s="1349" t="s">
        <v>88</v>
      </c>
      <c r="T37" s="1213" t="s">
        <v>1490</v>
      </c>
      <c r="U37" s="180"/>
      <c r="V37" s="1350" t="s">
        <v>1491</v>
      </c>
      <c r="W37" s="1351"/>
      <c r="X37" s="1351"/>
      <c r="Y37" s="1351"/>
      <c r="Z37" s="1351"/>
      <c r="AA37" s="1352"/>
      <c r="AB37" s="1353" t="s">
        <v>1492</v>
      </c>
      <c r="AC37" s="1350" t="s">
        <v>1491</v>
      </c>
      <c r="AD37" s="1351"/>
      <c r="AE37" s="1351"/>
      <c r="AF37" s="1351"/>
      <c r="AG37" s="1351"/>
      <c r="AH37" s="1352"/>
      <c r="AI37" s="1353" t="s">
        <v>1493</v>
      </c>
      <c r="AJ37" s="1356" t="s">
        <v>1494</v>
      </c>
      <c r="AK37" s="1123"/>
    </row>
    <row r="38" spans="1:42" ht="33.75" customHeight="1">
      <c r="Q38" s="36"/>
      <c r="R38" s="36"/>
      <c r="S38" s="1349"/>
      <c r="T38" s="1213"/>
      <c r="U38" s="647"/>
      <c r="V38" s="366" t="s">
        <v>2092</v>
      </c>
      <c r="W38" s="1105" t="s">
        <v>2093</v>
      </c>
      <c r="X38" s="1104"/>
      <c r="Y38" s="1105" t="s">
        <v>1498</v>
      </c>
      <c r="Z38" s="1110"/>
      <c r="AA38" s="1104"/>
      <c r="AB38" s="1354"/>
      <c r="AC38" s="366" t="s">
        <v>2092</v>
      </c>
      <c r="AD38" s="1105" t="s">
        <v>2093</v>
      </c>
      <c r="AE38" s="1104"/>
      <c r="AF38" s="1105" t="s">
        <v>1498</v>
      </c>
      <c r="AG38" s="1110"/>
      <c r="AH38" s="1104"/>
      <c r="AI38" s="1354"/>
      <c r="AJ38" s="1357"/>
      <c r="AK38" s="1123"/>
    </row>
    <row r="39" spans="1:42" ht="86.25" customHeight="1">
      <c r="A39" s="91"/>
      <c r="B39" s="91" t="s">
        <v>136</v>
      </c>
      <c r="C39" s="91" t="s">
        <v>137</v>
      </c>
      <c r="D39" s="91" t="s">
        <v>138</v>
      </c>
      <c r="E39" s="823" t="s">
        <v>1499</v>
      </c>
      <c r="F39" s="823" t="s">
        <v>1500</v>
      </c>
      <c r="G39" s="823" t="s">
        <v>1501</v>
      </c>
      <c r="H39" s="823"/>
      <c r="I39" s="823" t="s">
        <v>1690</v>
      </c>
      <c r="J39" s="823" t="s">
        <v>1504</v>
      </c>
      <c r="K39" s="823" t="s">
        <v>1691</v>
      </c>
      <c r="L39" s="823" t="s">
        <v>1480</v>
      </c>
      <c r="Q39" s="36"/>
      <c r="R39" s="36"/>
      <c r="S39" s="1349"/>
      <c r="T39" s="1213"/>
      <c r="U39" s="181"/>
      <c r="V39" s="366" t="s">
        <v>2094</v>
      </c>
      <c r="W39" s="48" t="s">
        <v>2095</v>
      </c>
      <c r="X39" s="48" t="s">
        <v>2096</v>
      </c>
      <c r="Y39" s="48" t="s">
        <v>1508</v>
      </c>
      <c r="Z39" s="1219" t="s">
        <v>1509</v>
      </c>
      <c r="AA39" s="1233"/>
      <c r="AB39" s="1355"/>
      <c r="AC39" s="366" t="s">
        <v>2094</v>
      </c>
      <c r="AD39" s="48" t="s">
        <v>2095</v>
      </c>
      <c r="AE39" s="48" t="s">
        <v>2096</v>
      </c>
      <c r="AF39" s="48" t="s">
        <v>1508</v>
      </c>
      <c r="AG39" s="1219" t="s">
        <v>1509</v>
      </c>
      <c r="AH39" s="1233"/>
      <c r="AI39" s="1355"/>
      <c r="AJ39" s="1358"/>
      <c r="AK39" s="1123"/>
    </row>
    <row r="40" spans="1:42" s="216" customFormat="1" ht="11.25" hidden="1" customHeight="1">
      <c r="A40" s="91"/>
      <c r="B40" s="91"/>
      <c r="C40" s="91"/>
      <c r="D40" s="91"/>
      <c r="E40" s="91"/>
      <c r="F40" s="91"/>
      <c r="G40" s="91"/>
      <c r="H40" s="91"/>
      <c r="I40" s="91"/>
      <c r="J40" s="91"/>
      <c r="K40" s="91"/>
      <c r="L40" s="823"/>
      <c r="M40" s="541"/>
      <c r="N40" s="541"/>
      <c r="O40" s="541"/>
      <c r="P40" s="768"/>
      <c r="Q40" s="769"/>
      <c r="R40" s="777">
        <v>1</v>
      </c>
      <c r="S40" s="795" t="s">
        <v>109</v>
      </c>
      <c r="T40" s="778" t="s">
        <v>110</v>
      </c>
      <c r="U40" s="767" t="str">
        <f ca="1">OFFSET(U40,0,-1)</f>
        <v>2</v>
      </c>
      <c r="V40" s="779">
        <f ca="1">OFFSET(V40,0,-1)+1</f>
        <v>3</v>
      </c>
      <c r="W40" s="779">
        <f ca="1">OFFSET(W40,0,-1)+1</f>
        <v>4</v>
      </c>
      <c r="X40" s="779">
        <f ca="1">OFFSET(X40,0,-1)+1</f>
        <v>5</v>
      </c>
      <c r="Y40" s="779">
        <f ca="1">OFFSET(Y40,0,-1)+1</f>
        <v>6</v>
      </c>
      <c r="Z40" s="1347">
        <f ca="1">OFFSET(Z40,0,-1)+1</f>
        <v>7</v>
      </c>
      <c r="AA40" s="1347"/>
      <c r="AB40" s="779">
        <f ca="1">OFFSET(AB40,0,-2)+1</f>
        <v>8</v>
      </c>
      <c r="AC40" s="779">
        <f ca="1">OFFSET(AC40,0,-1)+1</f>
        <v>9</v>
      </c>
      <c r="AD40" s="779">
        <f ca="1">OFFSET(AD40,0,-1)+1</f>
        <v>10</v>
      </c>
      <c r="AE40" s="779">
        <f ca="1">OFFSET(AE40,0,-1)+1</f>
        <v>11</v>
      </c>
      <c r="AF40" s="779">
        <f ca="1">OFFSET(AF40,0,-1)+1</f>
        <v>12</v>
      </c>
      <c r="AG40" s="1347">
        <f ca="1">OFFSET(AG40,0,-1)+1</f>
        <v>13</v>
      </c>
      <c r="AH40" s="1347"/>
      <c r="AI40" s="779">
        <f ca="1">OFFSET(AI40,0,-2)+1</f>
        <v>14</v>
      </c>
      <c r="AJ40" s="767">
        <f ca="1">OFFSET(AJ40,0,-1)</f>
        <v>14</v>
      </c>
      <c r="AK40" s="779">
        <f ca="1">OFFSET(AK40,0,-1)+1</f>
        <v>15</v>
      </c>
      <c r="AL40" s="77"/>
      <c r="AM40" s="77"/>
      <c r="AN40" s="77"/>
      <c r="AO40" s="77"/>
      <c r="AP40" s="77"/>
    </row>
    <row r="41" spans="1:42" ht="23.25" customHeight="1">
      <c r="A41" s="822" t="s">
        <v>243</v>
      </c>
      <c r="B41" s="822"/>
      <c r="C41" s="822"/>
      <c r="D41" s="822"/>
      <c r="E41" s="1337">
        <v>1</v>
      </c>
      <c r="F41" s="822"/>
      <c r="G41" s="822"/>
      <c r="H41" s="822"/>
      <c r="I41" s="822"/>
      <c r="J41" s="822"/>
      <c r="K41" s="822"/>
      <c r="L41" s="823"/>
      <c r="M41" s="452"/>
      <c r="N41" s="452"/>
      <c r="O41" s="452"/>
      <c r="Q41" s="43"/>
      <c r="R41" s="220"/>
      <c r="S41" s="755">
        <f>INDEX(PT_DIFFERENTIATION_NUM_NTAR,MATCH(A41,PT_DIFFERENTIATION_NTAR_ID,0))</f>
        <v>0</v>
      </c>
      <c r="T41" s="76" t="s">
        <v>124</v>
      </c>
      <c r="U41" s="179"/>
      <c r="V41" s="1331"/>
      <c r="W41" s="1332"/>
      <c r="X41" s="1332"/>
      <c r="Y41" s="1332"/>
      <c r="Z41" s="1332"/>
      <c r="AA41" s="1332"/>
      <c r="AB41" s="1333"/>
      <c r="AC41" s="1331" t="str">
        <f>INDEX(PT_DIFFERENTIATION_NTAR,MATCH(A41,PT_DIFFERENTIATION_NTAR_ID,0))</f>
        <v/>
      </c>
      <c r="AD41" s="1332"/>
      <c r="AE41" s="1332"/>
      <c r="AF41" s="1332"/>
      <c r="AG41" s="1332"/>
      <c r="AH41" s="1332"/>
      <c r="AI41" s="1332"/>
      <c r="AJ41" s="1333"/>
      <c r="AK41" s="7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9"/>
      <c r="AN41" s="79" t="str">
        <f t="shared" ref="AN41:AN53" si="1">IF(T41="","",T41)</f>
        <v>Наименование тарифа</v>
      </c>
      <c r="AO41" s="79"/>
      <c r="AP41" s="79"/>
    </row>
    <row r="42" spans="1:42" ht="23.25" customHeight="1">
      <c r="A42" s="822" t="s">
        <v>243</v>
      </c>
      <c r="B42" s="822" t="s">
        <v>244</v>
      </c>
      <c r="C42" s="822"/>
      <c r="D42" s="822"/>
      <c r="E42" s="1338"/>
      <c r="F42" s="1337">
        <v>1</v>
      </c>
      <c r="G42" s="822"/>
      <c r="H42" s="822"/>
      <c r="I42" s="822"/>
      <c r="J42" s="822"/>
      <c r="K42" s="822"/>
      <c r="L42" s="823"/>
      <c r="M42" s="452"/>
      <c r="N42" s="452"/>
      <c r="O42" s="452"/>
      <c r="P42" s="68"/>
      <c r="Q42" s="217"/>
      <c r="R42" s="218"/>
      <c r="S42" s="755" t="str">
        <f>INDEX(PT_DIFFERENTIATION_NUM_TER,MATCH(B42,PT_DIFFERENTIATION_TER_ID,0))</f>
        <v>.</v>
      </c>
      <c r="T42" s="187" t="s">
        <v>1462</v>
      </c>
      <c r="U42" s="179"/>
      <c r="V42" s="1331"/>
      <c r="W42" s="1332"/>
      <c r="X42" s="1332"/>
      <c r="Y42" s="1332"/>
      <c r="Z42" s="1332"/>
      <c r="AA42" s="1332"/>
      <c r="AB42" s="1333"/>
      <c r="AC42" s="1331" t="str">
        <f>INDEX(PT_DIFFERENTIATION_TER,MATCH(B42,PT_DIFFERENTIATION_TER_ID,0))</f>
        <v/>
      </c>
      <c r="AD42" s="1332"/>
      <c r="AE42" s="1332"/>
      <c r="AF42" s="1332"/>
      <c r="AG42" s="1332"/>
      <c r="AH42" s="1332"/>
      <c r="AI42" s="1332"/>
      <c r="AJ42" s="1333"/>
      <c r="AK42" s="782" t="s">
        <v>1463</v>
      </c>
      <c r="AM42" s="79"/>
      <c r="AN42" s="79" t="str">
        <f t="shared" si="1"/>
        <v>Территория действия тарифа</v>
      </c>
      <c r="AO42" s="79"/>
      <c r="AP42" s="79"/>
    </row>
    <row r="43" spans="1:42" ht="23.25" customHeight="1">
      <c r="A43" s="822" t="s">
        <v>243</v>
      </c>
      <c r="B43" s="822" t="s">
        <v>244</v>
      </c>
      <c r="C43" s="822" t="s">
        <v>245</v>
      </c>
      <c r="D43" s="822"/>
      <c r="E43" s="1338"/>
      <c r="F43" s="1338"/>
      <c r="G43" s="1337">
        <v>1</v>
      </c>
      <c r="H43" s="822"/>
      <c r="I43" s="822"/>
      <c r="J43" s="822"/>
      <c r="K43" s="822"/>
      <c r="L43" s="823"/>
      <c r="M43" s="452"/>
      <c r="N43" s="452"/>
      <c r="O43" s="452"/>
      <c r="P43" s="219"/>
      <c r="Q43" s="217"/>
      <c r="R43" s="218"/>
      <c r="S43" s="755" t="str">
        <f>INDEX(PT_DIFFERENTIATION_NUM_CS,MATCH(C43,PT_DIFFERENTIATION_CS_ID,0))</f>
        <v>..</v>
      </c>
      <c r="T43" s="188" t="s">
        <v>2090</v>
      </c>
      <c r="U43" s="179"/>
      <c r="V43" s="1331"/>
      <c r="W43" s="1332"/>
      <c r="X43" s="1332"/>
      <c r="Y43" s="1332"/>
      <c r="Z43" s="1332"/>
      <c r="AA43" s="1332"/>
      <c r="AB43" s="1333"/>
      <c r="AC43" s="1331" t="str">
        <f>INDEX(PT_DIFFERENTIATION_CS,MATCH(C43,PT_DIFFERENTIATION_CS_ID,0))</f>
        <v/>
      </c>
      <c r="AD43" s="1332"/>
      <c r="AE43" s="1332"/>
      <c r="AF43" s="1332"/>
      <c r="AG43" s="1332"/>
      <c r="AH43" s="1332"/>
      <c r="AI43" s="1332"/>
      <c r="AJ43" s="1333"/>
      <c r="AK43" s="782" t="s">
        <v>2091</v>
      </c>
      <c r="AM43" s="79"/>
      <c r="AN43" s="79" t="str">
        <f t="shared" si="1"/>
        <v>Наименование централизованной системы горячего водоснабжения</v>
      </c>
      <c r="AO43" s="79"/>
      <c r="AP43" s="79"/>
    </row>
    <row r="44" spans="1:42" ht="23.25" customHeight="1">
      <c r="A44" s="822" t="s">
        <v>243</v>
      </c>
      <c r="B44" s="822" t="s">
        <v>244</v>
      </c>
      <c r="C44" s="822" t="s">
        <v>245</v>
      </c>
      <c r="D44" s="822" t="s">
        <v>2097</v>
      </c>
      <c r="E44" s="1338"/>
      <c r="F44" s="1338"/>
      <c r="G44" s="1338"/>
      <c r="H44" s="1338"/>
      <c r="I44" s="1339" t="str">
        <f>S43&amp;".1"</f>
        <v>...1</v>
      </c>
      <c r="J44" s="822"/>
      <c r="K44" s="822"/>
      <c r="L44" s="823"/>
      <c r="P44" s="1259">
        <v>1</v>
      </c>
      <c r="Q44" s="127"/>
      <c r="R44" s="221"/>
      <c r="S44" s="755" t="str">
        <f>$I44</f>
        <v>...1</v>
      </c>
      <c r="T44" s="172" t="s">
        <v>1683</v>
      </c>
      <c r="U44" s="179"/>
      <c r="V44" s="1429"/>
      <c r="W44" s="1430"/>
      <c r="X44" s="1430"/>
      <c r="Y44" s="1430"/>
      <c r="Z44" s="1430"/>
      <c r="AA44" s="1430"/>
      <c r="AB44" s="1431"/>
      <c r="AC44" s="1432"/>
      <c r="AD44" s="1433"/>
      <c r="AE44" s="1433"/>
      <c r="AF44" s="1433"/>
      <c r="AG44" s="1433"/>
      <c r="AH44" s="1433"/>
      <c r="AI44" s="1433"/>
      <c r="AJ44" s="1434"/>
      <c r="AK44" s="782" t="s">
        <v>1684</v>
      </c>
      <c r="AM44" s="79"/>
      <c r="AN44" s="79" t="str">
        <f t="shared" si="1"/>
        <v>Наименование признака дифференциации</v>
      </c>
      <c r="AO44" s="79"/>
      <c r="AP44" s="79"/>
    </row>
    <row r="45" spans="1:42" ht="23.25" customHeight="1">
      <c r="A45" s="822" t="s">
        <v>243</v>
      </c>
      <c r="B45" s="822" t="s">
        <v>244</v>
      </c>
      <c r="C45" s="822" t="s">
        <v>245</v>
      </c>
      <c r="D45" s="822" t="s">
        <v>2097</v>
      </c>
      <c r="E45" s="1338"/>
      <c r="F45" s="1338"/>
      <c r="G45" s="1338"/>
      <c r="H45" s="1338"/>
      <c r="I45" s="1340"/>
      <c r="J45" s="1339" t="str">
        <f>I44&amp;".1"</f>
        <v>...1.1</v>
      </c>
      <c r="K45" s="822"/>
      <c r="L45" s="823" t="s">
        <v>1471</v>
      </c>
      <c r="P45" s="1259"/>
      <c r="Q45" s="1259">
        <v>1</v>
      </c>
      <c r="R45" s="222"/>
      <c r="S45" s="755" t="str">
        <f>$J45</f>
        <v>...1.1</v>
      </c>
      <c r="T45" s="173" t="s">
        <v>1472</v>
      </c>
      <c r="U45" s="179"/>
      <c r="V45" s="1326"/>
      <c r="W45" s="1327"/>
      <c r="X45" s="1327"/>
      <c r="Y45" s="1327"/>
      <c r="Z45" s="1327"/>
      <c r="AA45" s="1327"/>
      <c r="AB45" s="1328"/>
      <c r="AC45" s="1326"/>
      <c r="AD45" s="1327"/>
      <c r="AE45" s="1327"/>
      <c r="AF45" s="1327"/>
      <c r="AG45" s="1327"/>
      <c r="AH45" s="1327"/>
      <c r="AI45" s="1327"/>
      <c r="AJ45" s="1328"/>
      <c r="AK45" s="809" t="s">
        <v>1685</v>
      </c>
      <c r="AM45" s="79"/>
      <c r="AN45" s="79" t="str">
        <f t="shared" si="1"/>
        <v>Группа потребителей</v>
      </c>
      <c r="AO45" s="79"/>
      <c r="AP45" s="79"/>
    </row>
    <row r="46" spans="1:42" ht="23.25" customHeight="1">
      <c r="A46" s="822" t="s">
        <v>243</v>
      </c>
      <c r="B46" s="822" t="s">
        <v>244</v>
      </c>
      <c r="C46" s="822" t="s">
        <v>245</v>
      </c>
      <c r="D46" s="822" t="s">
        <v>2097</v>
      </c>
      <c r="E46" s="1338"/>
      <c r="F46" s="1338"/>
      <c r="G46" s="1338"/>
      <c r="H46" s="1338"/>
      <c r="I46" s="1340"/>
      <c r="J46" s="1340"/>
      <c r="K46" s="1339" t="str">
        <f>J45&amp;".1"</f>
        <v>...1.1.1</v>
      </c>
      <c r="L46" s="823"/>
      <c r="P46" s="1259"/>
      <c r="Q46" s="1259"/>
      <c r="R46" s="222">
        <v>1</v>
      </c>
      <c r="S46" s="755" t="str">
        <f>$K46</f>
        <v>...1.1.1</v>
      </c>
      <c r="T46" s="853"/>
      <c r="U46" s="179"/>
      <c r="V46" s="1058"/>
      <c r="W46" s="1058"/>
      <c r="X46" s="1059"/>
      <c r="Y46" s="1335"/>
      <c r="Z46" s="1334" t="s">
        <v>67</v>
      </c>
      <c r="AA46" s="1335"/>
      <c r="AB46" s="1334" t="s">
        <v>67</v>
      </c>
      <c r="AC46" s="1054"/>
      <c r="AD46" s="1054"/>
      <c r="AE46" s="1056"/>
      <c r="AF46" s="1341"/>
      <c r="AG46" s="1133" t="s">
        <v>67</v>
      </c>
      <c r="AH46" s="1343"/>
      <c r="AI46" s="1133" t="s">
        <v>57</v>
      </c>
      <c r="AJ46" s="1082"/>
      <c r="AK46" s="143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7" t="e">
        <f ca="1">STRCHECKDATE(V47:AJ47)</f>
        <v>#NAME?</v>
      </c>
      <c r="AM46" s="79"/>
      <c r="AN46" s="79" t="str">
        <f t="shared" si="1"/>
        <v/>
      </c>
      <c r="AO46" s="79"/>
      <c r="AP46" s="79"/>
    </row>
    <row r="47" spans="1:42" ht="0" hidden="1" customHeight="1">
      <c r="A47" s="822" t="s">
        <v>243</v>
      </c>
      <c r="B47" s="822" t="s">
        <v>244</v>
      </c>
      <c r="C47" s="822" t="s">
        <v>245</v>
      </c>
      <c r="D47" s="822" t="s">
        <v>2097</v>
      </c>
      <c r="E47" s="1338"/>
      <c r="F47" s="1338"/>
      <c r="G47" s="1338"/>
      <c r="H47" s="1338"/>
      <c r="I47" s="1340"/>
      <c r="J47" s="1340"/>
      <c r="K47" s="1339"/>
      <c r="L47" s="823"/>
      <c r="P47" s="1259"/>
      <c r="Q47" s="1259"/>
      <c r="R47" s="222"/>
      <c r="S47" s="74"/>
      <c r="T47" s="179"/>
      <c r="U47" s="179"/>
      <c r="V47" s="1058"/>
      <c r="W47" s="1058"/>
      <c r="X47" s="1057" t="str">
        <f>Y46&amp;"-"&amp;AA46</f>
        <v>-</v>
      </c>
      <c r="Y47" s="1334"/>
      <c r="Z47" s="1334"/>
      <c r="AA47" s="1334"/>
      <c r="AB47" s="1334"/>
      <c r="AC47" s="1055"/>
      <c r="AD47" s="1055"/>
      <c r="AE47" s="1057" t="str">
        <f>AF46&amp;"-"&amp;AH46</f>
        <v>-</v>
      </c>
      <c r="AF47" s="1342"/>
      <c r="AG47" s="1133"/>
      <c r="AH47" s="1344"/>
      <c r="AI47" s="1133"/>
      <c r="AJ47" s="1083"/>
      <c r="AK47" s="1435"/>
      <c r="AM47" s="79"/>
      <c r="AN47" s="79" t="str">
        <f t="shared" si="1"/>
        <v/>
      </c>
      <c r="AO47" s="79"/>
      <c r="AP47" s="79"/>
    </row>
    <row r="48" spans="1:42" ht="21" customHeight="1">
      <c r="A48" s="822" t="s">
        <v>243</v>
      </c>
      <c r="B48" s="822" t="s">
        <v>244</v>
      </c>
      <c r="C48" s="822" t="s">
        <v>245</v>
      </c>
      <c r="D48" s="822" t="s">
        <v>2097</v>
      </c>
      <c r="E48" s="1338"/>
      <c r="F48" s="1338"/>
      <c r="G48" s="1338"/>
      <c r="H48" s="1338"/>
      <c r="I48" s="1340"/>
      <c r="J48" s="1339"/>
      <c r="K48" s="822"/>
      <c r="L48" s="823"/>
      <c r="P48" s="1259"/>
      <c r="Q48" s="1259"/>
      <c r="R48" s="221"/>
      <c r="S48" s="796"/>
      <c r="T48" s="174" t="s">
        <v>1686</v>
      </c>
      <c r="U48" s="228"/>
      <c r="V48" s="228"/>
      <c r="W48" s="228"/>
      <c r="X48" s="228"/>
      <c r="Y48" s="228"/>
      <c r="Z48" s="228"/>
      <c r="AA48" s="228"/>
      <c r="AB48" s="228"/>
      <c r="AC48" s="228"/>
      <c r="AD48" s="228"/>
      <c r="AE48" s="228"/>
      <c r="AF48" s="228"/>
      <c r="AG48" s="228"/>
      <c r="AH48" s="228"/>
      <c r="AI48" s="228"/>
      <c r="AJ48" s="228"/>
      <c r="AK48" s="782" t="s">
        <v>1687</v>
      </c>
      <c r="AM48" s="79"/>
      <c r="AN48" s="79" t="str">
        <f t="shared" si="1"/>
        <v>Добавить значение признака дифференциации</v>
      </c>
      <c r="AO48" s="79"/>
      <c r="AP48" s="79"/>
    </row>
    <row r="49" spans="1:42" ht="21" customHeight="1">
      <c r="A49" s="822" t="s">
        <v>243</v>
      </c>
      <c r="B49" s="822" t="s">
        <v>244</v>
      </c>
      <c r="C49" s="822" t="s">
        <v>245</v>
      </c>
      <c r="D49" s="822" t="s">
        <v>2097</v>
      </c>
      <c r="E49" s="1338"/>
      <c r="F49" s="1338"/>
      <c r="G49" s="1338"/>
      <c r="H49" s="1338"/>
      <c r="I49" s="1339"/>
      <c r="J49" s="822"/>
      <c r="K49" s="822"/>
      <c r="L49" s="823"/>
      <c r="P49" s="1259"/>
      <c r="Q49" s="127"/>
      <c r="R49" s="221"/>
      <c r="S49" s="796"/>
      <c r="T49" s="226" t="s">
        <v>1477</v>
      </c>
      <c r="U49" s="228"/>
      <c r="V49" s="228"/>
      <c r="W49" s="228"/>
      <c r="X49" s="228"/>
      <c r="Y49" s="228"/>
      <c r="Z49" s="228"/>
      <c r="AA49" s="228"/>
      <c r="AB49" s="205"/>
      <c r="AC49" s="228"/>
      <c r="AD49" s="228"/>
      <c r="AE49" s="228"/>
      <c r="AF49" s="228"/>
      <c r="AG49" s="228"/>
      <c r="AH49" s="228"/>
      <c r="AI49" s="205"/>
      <c r="AJ49" s="228"/>
      <c r="AK49" s="854"/>
      <c r="AM49" s="79"/>
      <c r="AN49" s="79" t="str">
        <f t="shared" si="1"/>
        <v>Добавить группу потребителей</v>
      </c>
      <c r="AO49" s="79"/>
      <c r="AP49" s="79"/>
    </row>
    <row r="50" spans="1:42" ht="21" customHeight="1">
      <c r="A50" s="822" t="s">
        <v>243</v>
      </c>
      <c r="B50" s="822" t="s">
        <v>244</v>
      </c>
      <c r="C50" s="822" t="s">
        <v>245</v>
      </c>
      <c r="D50" s="822" t="s">
        <v>2097</v>
      </c>
      <c r="E50" s="1338"/>
      <c r="F50" s="1338"/>
      <c r="G50" s="1338"/>
      <c r="H50" s="1337"/>
      <c r="I50" s="822"/>
      <c r="J50" s="822"/>
      <c r="K50" s="822"/>
      <c r="L50" s="823"/>
      <c r="M50" s="452"/>
      <c r="N50" s="452"/>
      <c r="O50" s="72"/>
      <c r="P50" s="43"/>
      <c r="Q50" s="231"/>
      <c r="R50" s="220"/>
      <c r="S50" s="796"/>
      <c r="T50" s="113" t="s">
        <v>1688</v>
      </c>
      <c r="U50" s="228"/>
      <c r="V50" s="228"/>
      <c r="W50" s="228"/>
      <c r="X50" s="228"/>
      <c r="Y50" s="228"/>
      <c r="Z50" s="228"/>
      <c r="AA50" s="228"/>
      <c r="AB50" s="205"/>
      <c r="AC50" s="228"/>
      <c r="AD50" s="228"/>
      <c r="AE50" s="228"/>
      <c r="AF50" s="228"/>
      <c r="AG50" s="228"/>
      <c r="AH50" s="228"/>
      <c r="AI50" s="205"/>
      <c r="AJ50" s="228"/>
      <c r="AK50" s="182"/>
      <c r="AM50" s="79"/>
      <c r="AN50" s="79" t="str">
        <f t="shared" si="1"/>
        <v>Добавить наименование признака дифференциации</v>
      </c>
      <c r="AO50" s="79"/>
      <c r="AP50" s="79"/>
    </row>
    <row r="51" spans="1:42" s="77" customFormat="1" ht="0.75" customHeight="1">
      <c r="A51" s="150" t="s">
        <v>243</v>
      </c>
      <c r="B51" s="150" t="s">
        <v>244</v>
      </c>
      <c r="C51" s="150"/>
      <c r="D51" s="150"/>
      <c r="E51" s="1338"/>
      <c r="F51" s="1337"/>
      <c r="G51" s="150"/>
      <c r="H51" s="150"/>
      <c r="I51" s="150"/>
      <c r="J51" s="150"/>
      <c r="K51" s="150"/>
      <c r="L51" s="373"/>
      <c r="M51" s="815"/>
      <c r="N51" s="815"/>
      <c r="P51" s="111"/>
      <c r="Q51" s="811"/>
      <c r="R51" s="111"/>
      <c r="S51" s="816"/>
      <c r="T51" s="818" t="s">
        <v>1438</v>
      </c>
      <c r="U51" s="338"/>
      <c r="V51" s="338"/>
      <c r="W51" s="338"/>
      <c r="X51" s="338"/>
      <c r="Y51" s="338"/>
      <c r="Z51" s="338"/>
      <c r="AA51" s="338"/>
      <c r="AB51" s="338"/>
      <c r="AC51" s="338"/>
      <c r="AD51" s="338"/>
      <c r="AE51" s="338"/>
      <c r="AF51" s="338"/>
      <c r="AG51" s="338"/>
      <c r="AH51" s="338"/>
      <c r="AI51" s="338"/>
      <c r="AJ51" s="338"/>
      <c r="AK51" s="338"/>
      <c r="AM51" s="79"/>
      <c r="AN51" s="79" t="str">
        <f t="shared" si="1"/>
        <v>Добавить централизованную систему для дифференциации</v>
      </c>
      <c r="AO51" s="79"/>
      <c r="AP51" s="79"/>
    </row>
    <row r="52" spans="1:42" s="77" customFormat="1" ht="0.75" customHeight="1">
      <c r="A52" s="150" t="s">
        <v>243</v>
      </c>
      <c r="B52" s="150"/>
      <c r="C52" s="150"/>
      <c r="D52" s="150"/>
      <c r="E52" s="1337"/>
      <c r="F52" s="150"/>
      <c r="G52" s="150"/>
      <c r="H52" s="150"/>
      <c r="I52" s="150"/>
      <c r="J52" s="150"/>
      <c r="K52" s="150"/>
      <c r="L52" s="373"/>
      <c r="M52" s="815"/>
      <c r="N52" s="815"/>
      <c r="P52" s="111"/>
      <c r="Q52" s="811"/>
      <c r="R52" s="111"/>
      <c r="S52" s="816"/>
      <c r="T52" s="818" t="s">
        <v>1439</v>
      </c>
      <c r="U52" s="338"/>
      <c r="V52" s="338"/>
      <c r="W52" s="338"/>
      <c r="X52" s="338"/>
      <c r="Y52" s="338"/>
      <c r="Z52" s="338"/>
      <c r="AA52" s="338"/>
      <c r="AB52" s="338"/>
      <c r="AC52" s="338"/>
      <c r="AD52" s="338"/>
      <c r="AE52" s="338"/>
      <c r="AF52" s="338"/>
      <c r="AG52" s="338"/>
      <c r="AH52" s="338"/>
      <c r="AI52" s="338"/>
      <c r="AJ52" s="338"/>
      <c r="AK52" s="338"/>
      <c r="AM52" s="79"/>
      <c r="AN52" s="79" t="str">
        <f t="shared" si="1"/>
        <v>Добавить территорию для дифференциации</v>
      </c>
      <c r="AO52" s="79"/>
      <c r="AP52" s="79"/>
    </row>
    <row r="53" spans="1:42" s="77" customFormat="1" ht="0.75" customHeight="1">
      <c r="A53" s="150"/>
      <c r="B53" s="150"/>
      <c r="C53" s="150"/>
      <c r="D53" s="150"/>
      <c r="E53" s="150"/>
      <c r="F53" s="150"/>
      <c r="G53" s="150"/>
      <c r="H53" s="150"/>
      <c r="I53" s="150"/>
      <c r="J53" s="150"/>
      <c r="K53" s="150"/>
      <c r="L53" s="373"/>
      <c r="M53" s="815"/>
      <c r="N53" s="815"/>
      <c r="P53" s="111"/>
      <c r="Q53" s="811"/>
      <c r="R53" s="111"/>
      <c r="S53" s="816"/>
      <c r="T53" s="818" t="s">
        <v>1440</v>
      </c>
      <c r="U53" s="338"/>
      <c r="V53" s="338"/>
      <c r="W53" s="338"/>
      <c r="X53" s="338"/>
      <c r="Y53" s="338"/>
      <c r="Z53" s="338"/>
      <c r="AA53" s="338"/>
      <c r="AB53" s="338"/>
      <c r="AC53" s="338"/>
      <c r="AD53" s="338"/>
      <c r="AE53" s="338"/>
      <c r="AF53" s="338"/>
      <c r="AG53" s="338"/>
      <c r="AH53" s="338"/>
      <c r="AI53" s="338"/>
      <c r="AJ53" s="338"/>
      <c r="AK53" s="338"/>
      <c r="AM53" s="79"/>
      <c r="AN53" s="79" t="str">
        <f t="shared" si="1"/>
        <v>Добавить наименование тарифа</v>
      </c>
      <c r="AO53" s="79"/>
      <c r="AP53" s="79"/>
    </row>
    <row r="54" spans="1:42" ht="11.25" customHeight="1">
      <c r="M54" s="72"/>
      <c r="N54" s="72"/>
      <c r="O54" s="72"/>
      <c r="P54" s="24"/>
      <c r="Q54" s="24"/>
      <c r="R54" s="24"/>
      <c r="S54" s="24"/>
      <c r="AL54" s="24"/>
      <c r="AM54" s="24"/>
      <c r="AN54" s="24"/>
      <c r="AO54" s="24"/>
      <c r="AP54" s="24"/>
    </row>
    <row r="55" spans="1:42" ht="14.25" customHeight="1">
      <c r="O55" s="72"/>
      <c r="S55" s="210" t="s">
        <v>1510</v>
      </c>
      <c r="T55" s="1336" t="s">
        <v>2098</v>
      </c>
      <c r="U55" s="1336"/>
      <c r="V55" s="1336"/>
      <c r="W55" s="1336"/>
      <c r="X55" s="1336"/>
      <c r="Y55" s="1336"/>
      <c r="Z55" s="1336"/>
      <c r="AA55" s="1336"/>
      <c r="AB55" s="1336"/>
      <c r="AC55" s="1336"/>
      <c r="AD55" s="1336"/>
      <c r="AE55" s="1336"/>
      <c r="AF55" s="1336"/>
      <c r="AG55" s="1336"/>
      <c r="AH55" s="1336"/>
      <c r="AI55" s="1336"/>
      <c r="AJ55" s="1336"/>
      <c r="AK55" s="1336"/>
    </row>
    <row r="56" spans="1:42" ht="14.25" customHeight="1">
      <c r="O56" s="72"/>
    </row>
    <row r="57" spans="1:42" ht="14.25" customHeight="1">
      <c r="O57" s="72"/>
      <c r="S57" s="210" t="s">
        <v>1510</v>
      </c>
      <c r="T57" s="1336" t="s">
        <v>2099</v>
      </c>
      <c r="U57" s="1336"/>
      <c r="V57" s="1336"/>
      <c r="W57" s="1336"/>
      <c r="X57" s="1336"/>
      <c r="Y57" s="1336"/>
      <c r="Z57" s="1336"/>
      <c r="AA57" s="1336"/>
      <c r="AB57" s="1336"/>
      <c r="AC57" s="1336"/>
      <c r="AD57" s="1336"/>
      <c r="AE57" s="1336"/>
      <c r="AF57" s="1336"/>
      <c r="AG57" s="1336"/>
      <c r="AH57" s="1336"/>
      <c r="AI57" s="1336"/>
      <c r="AJ57" s="1336"/>
      <c r="AK57" s="1336"/>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30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30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30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30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30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30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30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30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EA05CB-F069-683B-D7F7-B56F1FC75957}">
  <sheetPr>
    <tabColor rgb="FFCCCCFF"/>
  </sheetPr>
  <dimension ref="A1:AQ121"/>
  <sheetViews>
    <sheetView showGridLines="0" topLeftCell="C4" zoomScale="90" workbookViewId="0"/>
  </sheetViews>
  <sheetFormatPr defaultColWidth="9.140625" defaultRowHeight="11.25" customHeight="1"/>
  <cols>
    <col min="1" max="2" width="3.7109375" style="79" hidden="1" customWidth="1"/>
    <col min="3" max="3" width="3.7109375" style="44" customWidth="1"/>
    <col min="4" max="4" width="6.140625" style="44" customWidth="1"/>
    <col min="5" max="5" width="43.140625" style="44" customWidth="1"/>
    <col min="6" max="6" width="15" style="44" customWidth="1"/>
    <col min="7" max="7" width="43.140625" style="44" customWidth="1"/>
    <col min="8" max="8" width="3.7109375" style="44" customWidth="1"/>
    <col min="9" max="9" width="5.42578125" style="44" customWidth="1"/>
    <col min="10" max="10" width="47.85546875" style="44" customWidth="1"/>
    <col min="11" max="12" width="3.7109375" style="44" customWidth="1"/>
    <col min="13" max="13" width="5.7109375" style="44" customWidth="1"/>
    <col min="14" max="14" width="28.140625" style="44" customWidth="1"/>
    <col min="15" max="16" width="3.7109375" style="44" customWidth="1"/>
    <col min="17" max="17" width="5.7109375" style="44" customWidth="1"/>
    <col min="18" max="18" width="34.42578125" style="44" customWidth="1"/>
    <col min="19" max="20" width="3.7109375" style="44" customWidth="1"/>
    <col min="21" max="21" width="5.7109375" style="44" customWidth="1"/>
    <col min="22" max="22" width="34.42578125" style="44" customWidth="1"/>
    <col min="23" max="23" width="30.7109375" style="44" customWidth="1"/>
    <col min="24" max="24" width="3.7109375" style="44" customWidth="1"/>
    <col min="25" max="28" width="9.85546875" style="369" hidden="1" customWidth="1"/>
    <col min="29" max="29" width="16.85546875" style="79" hidden="1" customWidth="1"/>
    <col min="30" max="30" width="10.5703125" style="79" hidden="1" customWidth="1"/>
    <col min="31" max="31" width="10.7109375" style="79" hidden="1" customWidth="1"/>
    <col min="32" max="32" width="10" style="79" hidden="1" customWidth="1"/>
    <col min="33" max="33" width="12.85546875" style="79" hidden="1" customWidth="1"/>
    <col min="34" max="34" width="10.28515625" style="79" hidden="1" customWidth="1"/>
    <col min="35" max="35" width="15.85546875" style="79" hidden="1" customWidth="1"/>
    <col min="36" max="36" width="19.42578125" style="79" hidden="1" customWidth="1"/>
    <col min="37" max="37" width="11" style="79" hidden="1" customWidth="1"/>
    <col min="38" max="38" width="23.5703125" style="79" hidden="1" customWidth="1"/>
    <col min="39" max="39" width="23.85546875" style="79" hidden="1" customWidth="1"/>
    <col min="40" max="40" width="25.28515625" style="79" hidden="1" customWidth="1"/>
    <col min="41" max="41" width="16.85546875" style="79" hidden="1" customWidth="1"/>
    <col min="42" max="42" width="29.5703125" style="79" hidden="1" customWidth="1"/>
    <col min="43" max="43" width="29.85546875" style="79" hidden="1" customWidth="1"/>
  </cols>
  <sheetData>
    <row r="1" spans="1:43" ht="11.25" hidden="1" customHeight="1"/>
    <row r="2" spans="1:43" ht="11.25" hidden="1" customHeight="1"/>
    <row r="3" spans="1:43" ht="11.25" hidden="1" customHeight="1"/>
    <row r="4" spans="1:43" ht="3" customHeight="1"/>
    <row r="5" spans="1:43" s="51" customFormat="1" ht="39" customHeight="1">
      <c r="A5" s="80"/>
      <c r="B5" s="80"/>
      <c r="D5" s="111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1117"/>
      <c r="F5" s="1117"/>
      <c r="G5" s="1117"/>
      <c r="H5" s="1117"/>
      <c r="I5" s="1117"/>
      <c r="J5" s="1118"/>
      <c r="K5" s="160"/>
      <c r="L5" s="69"/>
      <c r="M5" s="69"/>
      <c r="N5" s="69"/>
      <c r="O5" s="69"/>
      <c r="P5" s="69"/>
      <c r="Q5" s="69"/>
      <c r="R5" s="69"/>
      <c r="S5" s="69"/>
      <c r="T5" s="69"/>
      <c r="U5" s="69"/>
      <c r="V5" s="69"/>
      <c r="W5" s="69"/>
      <c r="Y5" s="784"/>
      <c r="Z5" s="784"/>
      <c r="AA5" s="784"/>
      <c r="AB5" s="784"/>
      <c r="AC5" s="80"/>
      <c r="AD5" s="80"/>
      <c r="AE5" s="80"/>
      <c r="AF5" s="80"/>
      <c r="AG5" s="80"/>
      <c r="AH5" s="80"/>
      <c r="AI5" s="80"/>
      <c r="AJ5" s="80"/>
      <c r="AK5" s="80"/>
      <c r="AL5" s="80"/>
      <c r="AM5" s="80"/>
      <c r="AN5" s="80"/>
      <c r="AO5" s="80"/>
      <c r="AP5" s="80"/>
      <c r="AQ5" s="80"/>
    </row>
    <row r="6" spans="1:43" s="51" customFormat="1" ht="15" customHeight="1">
      <c r="A6" s="369"/>
      <c r="B6" s="369"/>
      <c r="C6" s="369"/>
      <c r="D6" s="1179" t="str">
        <f>IF(org=0,"Не определено",org)</f>
        <v>ООО "ТЕПЛО ПЛЮС"</v>
      </c>
      <c r="E6" s="1179"/>
      <c r="F6" s="1179"/>
      <c r="G6" s="1179"/>
      <c r="H6" s="1179"/>
      <c r="I6" s="1179"/>
      <c r="J6" s="1179"/>
      <c r="K6" s="370"/>
      <c r="L6" s="370"/>
      <c r="M6" s="370"/>
      <c r="N6" s="370"/>
      <c r="O6" s="80"/>
      <c r="P6" s="80"/>
      <c r="Q6" s="80"/>
      <c r="R6" s="80"/>
      <c r="S6" s="80"/>
      <c r="T6" s="80"/>
      <c r="U6" s="80"/>
      <c r="V6" s="80"/>
      <c r="W6" s="80"/>
      <c r="X6" s="370"/>
      <c r="Y6" s="784"/>
      <c r="Z6" s="784"/>
      <c r="AA6" s="784"/>
      <c r="AB6" s="784"/>
      <c r="AC6" s="80"/>
      <c r="AD6" s="80"/>
      <c r="AE6" s="80"/>
      <c r="AF6" s="80"/>
      <c r="AG6" s="80"/>
      <c r="AH6" s="80"/>
      <c r="AI6" s="80"/>
      <c r="AJ6" s="80"/>
      <c r="AK6" s="80"/>
      <c r="AL6" s="80"/>
      <c r="AM6" s="80"/>
      <c r="AN6" s="80"/>
      <c r="AO6" s="80"/>
      <c r="AP6" s="80"/>
      <c r="AQ6" s="80"/>
    </row>
    <row r="7" spans="1:43" s="168" customFormat="1" ht="11.25" customHeight="1">
      <c r="A7" s="79"/>
      <c r="B7" s="79"/>
      <c r="D7" s="1176"/>
      <c r="E7" s="1177"/>
      <c r="F7" s="1177"/>
      <c r="G7" s="1177"/>
      <c r="H7" s="1177"/>
      <c r="I7" s="1177"/>
      <c r="J7" s="1178"/>
      <c r="Y7" s="369"/>
      <c r="Z7" s="369"/>
      <c r="AA7" s="369"/>
      <c r="AB7" s="369"/>
      <c r="AC7" s="79"/>
      <c r="AD7" s="79"/>
      <c r="AE7" s="79"/>
      <c r="AF7" s="79"/>
      <c r="AG7" s="79"/>
      <c r="AH7" s="79"/>
      <c r="AI7" s="79"/>
      <c r="AJ7" s="79"/>
      <c r="AK7" s="79"/>
      <c r="AL7" s="79"/>
      <c r="AM7" s="79"/>
      <c r="AN7" s="79"/>
      <c r="AO7" s="79"/>
      <c r="AP7" s="79"/>
      <c r="AQ7" s="79"/>
    </row>
    <row r="8" spans="1:43" s="51" customFormat="1" ht="0.75" customHeight="1">
      <c r="A8" s="80"/>
      <c r="B8" s="80"/>
      <c r="D8" s="121"/>
      <c r="E8" s="121"/>
      <c r="F8" s="121"/>
      <c r="G8" s="121"/>
      <c r="H8" s="121"/>
      <c r="I8" s="121"/>
      <c r="J8" s="121"/>
      <c r="K8" s="121"/>
      <c r="L8" s="121"/>
      <c r="M8" s="121"/>
      <c r="N8" s="121"/>
      <c r="O8" s="121"/>
      <c r="P8" s="121"/>
      <c r="Q8" s="121"/>
      <c r="R8" s="121"/>
      <c r="S8" s="121"/>
      <c r="T8" s="121"/>
      <c r="U8" s="121"/>
      <c r="V8" s="121"/>
      <c r="W8" s="121"/>
      <c r="Y8" s="784"/>
      <c r="Z8" s="784"/>
      <c r="AA8" s="784"/>
      <c r="AB8" s="784"/>
      <c r="AC8" s="80"/>
      <c r="AD8" s="80"/>
      <c r="AE8" s="80"/>
      <c r="AF8" s="80"/>
      <c r="AG8" s="80"/>
      <c r="AH8" s="80"/>
      <c r="AI8" s="80"/>
      <c r="AJ8" s="80"/>
      <c r="AK8" s="80"/>
      <c r="AL8" s="80"/>
      <c r="AM8" s="80"/>
      <c r="AN8" s="80"/>
      <c r="AO8" s="80"/>
      <c r="AP8" s="80"/>
      <c r="AQ8" s="80"/>
    </row>
    <row r="9" spans="1:43" ht="27" customHeight="1">
      <c r="D9" s="1123" t="s">
        <v>88</v>
      </c>
      <c r="E9" s="1105" t="s">
        <v>123</v>
      </c>
      <c r="F9" s="1104"/>
      <c r="G9" s="1123" t="s">
        <v>105</v>
      </c>
      <c r="H9" s="1123" t="s">
        <v>88</v>
      </c>
      <c r="I9" s="1123"/>
      <c r="J9" s="1123" t="s">
        <v>124</v>
      </c>
      <c r="K9" s="1180" t="s">
        <v>125</v>
      </c>
      <c r="L9" s="1180"/>
      <c r="M9" s="1180"/>
      <c r="N9" s="1180"/>
      <c r="O9" s="1180" t="s">
        <v>126</v>
      </c>
      <c r="P9" s="1180"/>
      <c r="Q9" s="1180"/>
      <c r="R9" s="1180"/>
      <c r="S9" s="1180" t="s">
        <v>127</v>
      </c>
      <c r="T9" s="1180"/>
      <c r="U9" s="1180"/>
      <c r="V9" s="1180"/>
      <c r="W9" s="1123" t="s">
        <v>128</v>
      </c>
      <c r="Z9" s="91"/>
      <c r="AA9" s="91"/>
      <c r="AB9" s="91"/>
    </row>
    <row r="10" spans="1:43" ht="30" customHeight="1">
      <c r="D10" s="1123"/>
      <c r="E10" s="50" t="s">
        <v>89</v>
      </c>
      <c r="F10" s="50" t="s">
        <v>129</v>
      </c>
      <c r="G10" s="1123"/>
      <c r="H10" s="1123"/>
      <c r="I10" s="1123"/>
      <c r="J10" s="1123"/>
      <c r="K10" s="50" t="s">
        <v>108</v>
      </c>
      <c r="L10" s="1123" t="s">
        <v>88</v>
      </c>
      <c r="M10" s="1123"/>
      <c r="N10" s="50" t="s">
        <v>130</v>
      </c>
      <c r="O10" s="50" t="s">
        <v>108</v>
      </c>
      <c r="P10" s="1123" t="s">
        <v>88</v>
      </c>
      <c r="Q10" s="1123"/>
      <c r="R10" s="50" t="s">
        <v>130</v>
      </c>
      <c r="S10" s="50" t="s">
        <v>108</v>
      </c>
      <c r="T10" s="1123" t="s">
        <v>88</v>
      </c>
      <c r="U10" s="1123"/>
      <c r="V10" s="50" t="s">
        <v>89</v>
      </c>
      <c r="W10" s="1123"/>
      <c r="Z10" s="91" t="s">
        <v>131</v>
      </c>
      <c r="AA10" s="91" t="s">
        <v>132</v>
      </c>
      <c r="AB10" s="91" t="s">
        <v>133</v>
      </c>
      <c r="AC10" s="79" t="s">
        <v>134</v>
      </c>
      <c r="AD10" s="79" t="s">
        <v>135</v>
      </c>
      <c r="AE10" s="79" t="s">
        <v>136</v>
      </c>
      <c r="AF10" s="79" t="s">
        <v>137</v>
      </c>
      <c r="AG10" s="79" t="s">
        <v>138</v>
      </c>
      <c r="AH10" s="79" t="s">
        <v>139</v>
      </c>
      <c r="AI10" s="79" t="s">
        <v>140</v>
      </c>
      <c r="AJ10" s="79" t="s">
        <v>141</v>
      </c>
      <c r="AK10" s="79" t="s">
        <v>142</v>
      </c>
      <c r="AL10" s="79" t="s">
        <v>143</v>
      </c>
      <c r="AM10" s="79" t="s">
        <v>144</v>
      </c>
      <c r="AN10" s="79" t="s">
        <v>145</v>
      </c>
      <c r="AO10" s="79" t="s">
        <v>146</v>
      </c>
      <c r="AP10" s="79" t="s">
        <v>147</v>
      </c>
      <c r="AQ10" s="79" t="s">
        <v>148</v>
      </c>
    </row>
    <row r="11" spans="1:43" s="79" customFormat="1" ht="12" hidden="1" customHeight="1">
      <c r="D11" s="771" t="s">
        <v>109</v>
      </c>
      <c r="E11" s="771" t="s">
        <v>110</v>
      </c>
      <c r="F11" s="771"/>
      <c r="G11" s="771" t="s">
        <v>90</v>
      </c>
      <c r="H11" s="1175" t="s">
        <v>111</v>
      </c>
      <c r="I11" s="1175"/>
      <c r="J11" s="771" t="s">
        <v>92</v>
      </c>
      <c r="K11" s="771" t="s">
        <v>93</v>
      </c>
      <c r="L11" s="1175" t="s">
        <v>112</v>
      </c>
      <c r="M11" s="1175"/>
      <c r="N11" s="771" t="s">
        <v>149</v>
      </c>
      <c r="O11" s="771" t="s">
        <v>150</v>
      </c>
      <c r="P11" s="1175" t="s">
        <v>151</v>
      </c>
      <c r="Q11" s="1175"/>
      <c r="R11" s="771" t="s">
        <v>152</v>
      </c>
      <c r="S11" s="771" t="s">
        <v>151</v>
      </c>
      <c r="T11" s="1175" t="s">
        <v>152</v>
      </c>
      <c r="U11" s="1175"/>
      <c r="V11" s="771" t="s">
        <v>153</v>
      </c>
      <c r="W11" s="771" t="s">
        <v>154</v>
      </c>
    </row>
    <row r="12" spans="1:43" ht="14.25" hidden="1" customHeight="1">
      <c r="C12" s="86"/>
      <c r="D12" s="498">
        <v>0</v>
      </c>
      <c r="E12" s="50"/>
      <c r="F12" s="50"/>
      <c r="G12" s="50"/>
      <c r="H12" s="152"/>
      <c r="I12" s="152"/>
      <c r="J12" s="52"/>
      <c r="K12" s="52"/>
      <c r="L12" s="52"/>
      <c r="M12" s="52"/>
      <c r="N12" s="153"/>
      <c r="O12" s="52"/>
      <c r="P12" s="52"/>
      <c r="Q12" s="52"/>
      <c r="R12" s="154"/>
      <c r="S12" s="52"/>
      <c r="T12" s="52"/>
      <c r="U12" s="52"/>
      <c r="V12" s="154"/>
      <c r="W12" s="52"/>
    </row>
    <row r="13" spans="1:43" s="44" customFormat="1" ht="17.25" hidden="1" customHeight="1">
      <c r="A13" s="78"/>
      <c r="C13" s="86"/>
      <c r="D13" s="1143">
        <v>1</v>
      </c>
      <c r="E13" s="1145" t="s">
        <v>155</v>
      </c>
      <c r="F13" s="1147" t="s">
        <v>57</v>
      </c>
      <c r="G13" s="1150"/>
      <c r="H13" s="1152"/>
      <c r="I13" s="1154"/>
      <c r="J13" s="1156"/>
      <c r="K13" s="1141"/>
      <c r="L13" s="1141"/>
      <c r="M13" s="1141"/>
      <c r="N13" s="1159"/>
      <c r="O13" s="1141"/>
      <c r="P13" s="1141"/>
      <c r="Q13" s="1141"/>
      <c r="R13" s="1162"/>
      <c r="S13" s="1141"/>
      <c r="T13" s="800"/>
      <c r="U13" s="800"/>
      <c r="V13" s="801"/>
      <c r="W13" s="802"/>
      <c r="Y13" s="785"/>
      <c r="Z13" s="785"/>
      <c r="AA13" s="785"/>
      <c r="AB13" s="785"/>
      <c r="AC13" s="150" t="s">
        <v>156</v>
      </c>
      <c r="AD13" s="150" t="s">
        <v>157</v>
      </c>
      <c r="AE13" s="150" t="s">
        <v>158</v>
      </c>
      <c r="AF13" s="150" t="s">
        <v>159</v>
      </c>
      <c r="AG13" s="150" t="s">
        <v>160</v>
      </c>
      <c r="AH13" s="15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50" t="str">
        <f>IF($G$13=0,"",$G$13)</f>
        <v/>
      </c>
      <c r="AJ13" s="150" t="str">
        <f>IF($J$13=0,"",$J$13)</f>
        <v/>
      </c>
      <c r="AK13" s="150" t="str">
        <f>IF($K$13="нет","без дифференциации",IF($N$13=0,"",$N$13))</f>
        <v/>
      </c>
      <c r="AL13" s="150" t="str">
        <f>IF($O$13="нет","без дифференциации",IF($R$13=0,"",$R$13))</f>
        <v/>
      </c>
      <c r="AM13" s="150" t="str">
        <f>IF($S$13="нет","без дифференциации",IF($V$13=0,"",$V$13))</f>
        <v/>
      </c>
      <c r="AN13" s="150">
        <f>$I$13</f>
        <v>0</v>
      </c>
      <c r="AO13" s="150" t="str">
        <f>$I$13&amp;"."&amp;$M$13</f>
        <v>.</v>
      </c>
      <c r="AP13" s="150" t="str">
        <f>$I$13&amp;"."&amp;$M$13&amp;"."&amp;$Q$13</f>
        <v>..</v>
      </c>
      <c r="AQ13" s="150" t="str">
        <f>$I$13&amp;"."&amp;$M$13&amp;"."&amp;$Q$13&amp;"."&amp;$U$13</f>
        <v>...</v>
      </c>
    </row>
    <row r="14" spans="1:43" s="44" customFormat="1" ht="17.25" hidden="1" customHeight="1">
      <c r="A14" s="78"/>
      <c r="D14" s="1143"/>
      <c r="E14" s="1145"/>
      <c r="F14" s="1148"/>
      <c r="G14" s="1150"/>
      <c r="H14" s="1153"/>
      <c r="I14" s="1155"/>
      <c r="J14" s="1157"/>
      <c r="K14" s="1142"/>
      <c r="L14" s="1142"/>
      <c r="M14" s="1142"/>
      <c r="N14" s="1160"/>
      <c r="O14" s="1142"/>
      <c r="P14" s="1142"/>
      <c r="Q14" s="1142"/>
      <c r="R14" s="1161"/>
      <c r="S14" s="1142"/>
      <c r="T14" s="803"/>
      <c r="U14" s="803"/>
      <c r="V14" s="803"/>
      <c r="W14" s="804"/>
      <c r="Y14" s="369"/>
      <c r="Z14" s="369"/>
      <c r="AA14" s="369"/>
      <c r="AB14" s="369"/>
      <c r="AC14" s="79"/>
      <c r="AD14" s="79"/>
      <c r="AE14" s="79"/>
      <c r="AF14" s="79"/>
      <c r="AG14" s="79"/>
      <c r="AH14" s="79"/>
      <c r="AI14" s="79"/>
      <c r="AJ14" s="79"/>
      <c r="AK14" s="79"/>
      <c r="AL14" s="79"/>
      <c r="AM14" s="79"/>
      <c r="AN14" s="79"/>
      <c r="AO14" s="79"/>
      <c r="AP14" s="79"/>
      <c r="AQ14" s="79"/>
    </row>
    <row r="15" spans="1:43" s="44" customFormat="1" ht="17.25" hidden="1" customHeight="1">
      <c r="A15" s="78"/>
      <c r="C15" s="86"/>
      <c r="D15" s="1143"/>
      <c r="E15" s="1145"/>
      <c r="F15" s="1148"/>
      <c r="G15" s="1150"/>
      <c r="H15" s="1153"/>
      <c r="I15" s="1155"/>
      <c r="J15" s="1158"/>
      <c r="K15" s="1142"/>
      <c r="L15" s="1142"/>
      <c r="M15" s="1142"/>
      <c r="N15" s="1161"/>
      <c r="O15" s="1142"/>
      <c r="P15" s="214"/>
      <c r="Q15" s="803"/>
      <c r="R15" s="803"/>
      <c r="W15" s="804"/>
      <c r="Y15" s="785"/>
      <c r="Z15" s="785"/>
      <c r="AA15" s="785"/>
      <c r="AB15" s="785"/>
      <c r="AC15" s="150" t="s">
        <v>156</v>
      </c>
      <c r="AD15" s="150" t="s">
        <v>157</v>
      </c>
      <c r="AE15" s="150" t="s">
        <v>158</v>
      </c>
      <c r="AF15" s="150" t="s">
        <v>161</v>
      </c>
      <c r="AG15" s="150" t="s">
        <v>162</v>
      </c>
      <c r="AH15" s="15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5" s="150" t="str">
        <f>IF($G$13=0,"",$G$13)</f>
        <v/>
      </c>
      <c r="AJ15" s="150" t="str">
        <f>IF($J$13=0,"",$J$13)</f>
        <v/>
      </c>
      <c r="AK15" s="150" t="str">
        <f>IF($K$13="нет","без дифференциации",IF($N$13=0,"",$N$13))</f>
        <v/>
      </c>
      <c r="AL15" s="150" t="str">
        <f>IF($O$15="нет","без дифференциации",IF($R$15=0,"",$R$15))</f>
        <v/>
      </c>
      <c r="AM15" s="150" t="str">
        <f>IF($S$15="нет","без дифференциации",IF($V$15=0,"",$V$15))</f>
        <v/>
      </c>
      <c r="AN15" s="150">
        <f>$I$13</f>
        <v>0</v>
      </c>
      <c r="AO15" s="150" t="str">
        <f>$I$13&amp;"."&amp;$M$13</f>
        <v>.</v>
      </c>
      <c r="AP15" s="150" t="str">
        <f>$I$13&amp;"."&amp;$M$13&amp;"."&amp;$Q$15</f>
        <v>..</v>
      </c>
      <c r="AQ15" s="150" t="str">
        <f>$I$13&amp;"."&amp;$M$13&amp;"."&amp;$Q$15&amp;"."&amp;$U$15</f>
        <v>...</v>
      </c>
    </row>
    <row r="16" spans="1:43" s="44" customFormat="1" ht="17.25" hidden="1" customHeight="1">
      <c r="A16" s="78"/>
      <c r="D16" s="1143"/>
      <c r="E16" s="1145"/>
      <c r="F16" s="1148"/>
      <c r="G16" s="1150"/>
      <c r="H16" s="1153"/>
      <c r="I16" s="1155"/>
      <c r="J16" s="1158"/>
      <c r="K16" s="1142"/>
      <c r="L16" s="803"/>
      <c r="M16" s="803"/>
      <c r="N16" s="803"/>
      <c r="O16" s="803"/>
      <c r="P16" s="803"/>
      <c r="Q16" s="803"/>
      <c r="R16" s="803"/>
      <c r="W16" s="804"/>
      <c r="Y16" s="369"/>
      <c r="Z16" s="369"/>
      <c r="AA16" s="369"/>
      <c r="AB16" s="369"/>
      <c r="AC16" s="79"/>
      <c r="AD16" s="79"/>
      <c r="AE16" s="79"/>
      <c r="AF16" s="79"/>
      <c r="AG16" s="79"/>
      <c r="AH16" s="79"/>
      <c r="AI16" s="79"/>
      <c r="AJ16" s="79"/>
      <c r="AK16" s="79"/>
      <c r="AL16" s="79"/>
      <c r="AM16" s="79"/>
      <c r="AN16" s="79"/>
      <c r="AO16" s="79"/>
      <c r="AP16" s="79"/>
      <c r="AQ16" s="79"/>
    </row>
    <row r="17" spans="1:43" s="44" customFormat="1" ht="17.25" hidden="1" customHeight="1">
      <c r="A17" s="78"/>
      <c r="D17" s="1144"/>
      <c r="E17" s="1146"/>
      <c r="F17" s="1149"/>
      <c r="G17" s="1151"/>
      <c r="H17" s="805"/>
      <c r="I17" s="806"/>
      <c r="J17" s="806"/>
      <c r="K17" s="806"/>
      <c r="L17" s="806"/>
      <c r="M17" s="806"/>
      <c r="N17" s="806"/>
      <c r="O17" s="806"/>
      <c r="P17" s="806"/>
      <c r="Q17" s="806"/>
      <c r="R17" s="806"/>
      <c r="S17" s="807"/>
      <c r="T17" s="807"/>
      <c r="U17" s="807"/>
      <c r="V17" s="807"/>
      <c r="W17" s="808"/>
      <c r="Y17" s="369"/>
      <c r="Z17" s="369"/>
      <c r="AA17" s="369"/>
      <c r="AB17" s="369"/>
      <c r="AC17" s="79"/>
      <c r="AD17" s="79"/>
      <c r="AE17" s="79"/>
      <c r="AF17" s="79"/>
      <c r="AG17" s="79"/>
      <c r="AH17" s="79"/>
      <c r="AI17" s="79"/>
      <c r="AJ17" s="79"/>
      <c r="AK17" s="79"/>
      <c r="AL17" s="79"/>
      <c r="AM17" s="79"/>
      <c r="AN17" s="79"/>
      <c r="AO17" s="79"/>
      <c r="AP17" s="79"/>
      <c r="AQ17" s="79"/>
    </row>
    <row r="18" spans="1:43" s="44" customFormat="1" ht="17.25" hidden="1" customHeight="1">
      <c r="A18" s="78"/>
      <c r="C18" s="86"/>
      <c r="D18" s="1143">
        <v>2</v>
      </c>
      <c r="E18" s="1145" t="s">
        <v>163</v>
      </c>
      <c r="F18" s="1147" t="s">
        <v>57</v>
      </c>
      <c r="G18" s="1150"/>
      <c r="H18" s="1152"/>
      <c r="I18" s="1154"/>
      <c r="J18" s="1156"/>
      <c r="K18" s="1141"/>
      <c r="L18" s="1141"/>
      <c r="M18" s="1141"/>
      <c r="N18" s="1159"/>
      <c r="O18" s="1141"/>
      <c r="P18" s="1141"/>
      <c r="Q18" s="1141"/>
      <c r="R18" s="1162"/>
      <c r="S18" s="1141"/>
      <c r="T18" s="800"/>
      <c r="U18" s="800"/>
      <c r="V18" s="801"/>
      <c r="W18" s="802"/>
      <c r="X18" s="785"/>
      <c r="Y18" s="785"/>
      <c r="Z18" s="785"/>
      <c r="AA18" s="785"/>
      <c r="AB18" s="785"/>
      <c r="AC18" s="150" t="s">
        <v>164</v>
      </c>
      <c r="AD18" s="150" t="s">
        <v>165</v>
      </c>
      <c r="AE18" s="150" t="s">
        <v>166</v>
      </c>
      <c r="AF18" s="150" t="s">
        <v>167</v>
      </c>
      <c r="AG18" s="150" t="s">
        <v>168</v>
      </c>
      <c r="AH18" s="150" t="str">
        <f>IF($E$18=0,"",$E$18)</f>
        <v>Тарифы на тепловую энергию (мощность), поставляемую теплоснабжающими организациями потребителям, другим теплоснабжающим организациям</v>
      </c>
      <c r="AI18" s="150" t="str">
        <f>IF($G$18=0,"",$G$18)</f>
        <v/>
      </c>
      <c r="AJ18" s="150" t="str">
        <f>IF($J$18=0,"",$J$18)</f>
        <v/>
      </c>
      <c r="AK18" s="150" t="str">
        <f>IF($K$18="нет","без дифференциации",IF($N$18=0,"",$N$18))</f>
        <v/>
      </c>
      <c r="AL18" s="150" t="str">
        <f>IF($O$18="нет","без дифференциации",IF($R$18=0,"",$R$18))</f>
        <v/>
      </c>
      <c r="AM18" s="150" t="str">
        <f>IF($S$18="нет","без дифференциации",IF($V$18=0,"",$V$18))</f>
        <v/>
      </c>
      <c r="AN18" s="818">
        <f>$I$18</f>
        <v>0</v>
      </c>
      <c r="AO18" s="150" t="str">
        <f>$I$18&amp;"."&amp;$M$18</f>
        <v>.</v>
      </c>
      <c r="AP18" s="79" t="str">
        <f>$I$18&amp;"."&amp;$M$18&amp;"."&amp;$Q$18</f>
        <v>..</v>
      </c>
      <c r="AQ18" s="79" t="str">
        <f>$I$18&amp;"."&amp;$M$18&amp;"."&amp;$Q$18&amp;"."&amp;$U$18</f>
        <v>...</v>
      </c>
    </row>
    <row r="19" spans="1:43" s="44" customFormat="1" ht="17.25" hidden="1" customHeight="1">
      <c r="A19" s="78"/>
      <c r="D19" s="1143"/>
      <c r="E19" s="1145"/>
      <c r="F19" s="1148"/>
      <c r="G19" s="1150"/>
      <c r="H19" s="1153"/>
      <c r="I19" s="1155"/>
      <c r="J19" s="1157"/>
      <c r="K19" s="1142"/>
      <c r="L19" s="1142"/>
      <c r="M19" s="1142"/>
      <c r="N19" s="1160"/>
      <c r="O19" s="1142"/>
      <c r="P19" s="1142"/>
      <c r="Q19" s="1142"/>
      <c r="R19" s="1161"/>
      <c r="S19" s="1142"/>
      <c r="T19" s="803"/>
      <c r="U19" s="803"/>
      <c r="V19" s="803"/>
      <c r="W19" s="804"/>
      <c r="X19" s="369"/>
      <c r="Y19" s="369"/>
      <c r="Z19" s="369"/>
      <c r="AA19" s="369"/>
      <c r="AB19" s="369"/>
      <c r="AC19" s="79"/>
      <c r="AD19" s="79"/>
      <c r="AE19" s="79"/>
      <c r="AF19" s="79"/>
      <c r="AG19" s="79"/>
      <c r="AH19" s="79"/>
      <c r="AI19" s="79"/>
      <c r="AJ19" s="79"/>
      <c r="AK19" s="79"/>
      <c r="AL19" s="79"/>
      <c r="AM19" s="79"/>
      <c r="AN19" s="79"/>
      <c r="AO19" s="79"/>
      <c r="AP19" s="79"/>
      <c r="AQ19" s="79"/>
    </row>
    <row r="20" spans="1:43" s="44" customFormat="1" ht="17.25" hidden="1" customHeight="1">
      <c r="A20" s="78"/>
      <c r="D20" s="1144"/>
      <c r="E20" s="1146"/>
      <c r="F20" s="1148"/>
      <c r="G20" s="1151"/>
      <c r="H20" s="1153"/>
      <c r="I20" s="1155"/>
      <c r="J20" s="1158"/>
      <c r="K20" s="1142"/>
      <c r="L20" s="1142"/>
      <c r="M20" s="1142"/>
      <c r="N20" s="1161"/>
      <c r="O20" s="1142"/>
      <c r="P20" s="214"/>
      <c r="Q20" s="803"/>
      <c r="R20" s="803"/>
      <c r="W20" s="804"/>
      <c r="X20" s="369"/>
      <c r="Y20" s="369"/>
      <c r="Z20" s="369"/>
      <c r="AA20" s="369"/>
      <c r="AB20" s="369"/>
      <c r="AC20" s="79"/>
      <c r="AD20" s="79"/>
      <c r="AE20" s="79"/>
      <c r="AF20" s="79"/>
      <c r="AG20" s="79"/>
      <c r="AH20" s="79"/>
      <c r="AI20" s="79"/>
      <c r="AJ20" s="79"/>
      <c r="AK20" s="79"/>
      <c r="AL20" s="79"/>
      <c r="AM20" s="79"/>
      <c r="AN20" s="79"/>
      <c r="AO20" s="79"/>
      <c r="AP20" s="79"/>
      <c r="AQ20" s="79"/>
    </row>
    <row r="21" spans="1:43" s="44" customFormat="1" ht="17.25" hidden="1" customHeight="1">
      <c r="A21" s="78"/>
      <c r="D21" s="1144"/>
      <c r="E21" s="1146"/>
      <c r="F21" s="1148"/>
      <c r="G21" s="1151"/>
      <c r="H21" s="1153"/>
      <c r="I21" s="1155"/>
      <c r="J21" s="1158"/>
      <c r="K21" s="1142"/>
      <c r="L21" s="803"/>
      <c r="M21" s="803"/>
      <c r="N21" s="803"/>
      <c r="O21" s="803"/>
      <c r="P21" s="803"/>
      <c r="Q21" s="803"/>
      <c r="R21" s="803"/>
      <c r="W21" s="804"/>
      <c r="X21" s="369"/>
      <c r="Y21" s="369"/>
      <c r="Z21" s="369"/>
      <c r="AA21" s="369"/>
      <c r="AB21" s="369"/>
      <c r="AC21" s="79"/>
      <c r="AD21" s="79"/>
      <c r="AE21" s="79"/>
      <c r="AF21" s="79"/>
      <c r="AG21" s="79"/>
      <c r="AH21" s="79"/>
      <c r="AI21" s="79"/>
      <c r="AJ21" s="79"/>
      <c r="AK21" s="79"/>
      <c r="AL21" s="79"/>
      <c r="AM21" s="79"/>
      <c r="AN21" s="79"/>
      <c r="AO21" s="79"/>
      <c r="AP21" s="79"/>
      <c r="AQ21" s="79"/>
    </row>
    <row r="22" spans="1:43" s="44" customFormat="1" ht="17.25" hidden="1" customHeight="1">
      <c r="A22" s="78"/>
      <c r="D22" s="1144"/>
      <c r="E22" s="1146"/>
      <c r="F22" s="1149"/>
      <c r="G22" s="1151"/>
      <c r="H22" s="805"/>
      <c r="I22" s="806"/>
      <c r="J22" s="806"/>
      <c r="K22" s="806"/>
      <c r="L22" s="806"/>
      <c r="M22" s="806"/>
      <c r="N22" s="806"/>
      <c r="O22" s="806"/>
      <c r="P22" s="806"/>
      <c r="Q22" s="806"/>
      <c r="R22" s="806"/>
      <c r="S22" s="807"/>
      <c r="T22" s="807"/>
      <c r="U22" s="807"/>
      <c r="V22" s="807"/>
      <c r="W22" s="808"/>
      <c r="X22" s="369"/>
      <c r="Y22" s="369"/>
      <c r="Z22" s="369"/>
      <c r="AA22" s="369"/>
      <c r="AB22" s="369"/>
      <c r="AC22" s="79"/>
      <c r="AD22" s="79"/>
      <c r="AE22" s="79"/>
      <c r="AF22" s="79"/>
      <c r="AG22" s="79"/>
      <c r="AH22" s="79"/>
      <c r="AI22" s="79"/>
      <c r="AJ22" s="79"/>
      <c r="AK22" s="79"/>
      <c r="AL22" s="79"/>
      <c r="AM22" s="79"/>
      <c r="AN22" s="79"/>
      <c r="AO22" s="79"/>
      <c r="AP22" s="79"/>
      <c r="AQ22" s="79"/>
    </row>
    <row r="23" spans="1:43" s="44" customFormat="1" ht="17.25" hidden="1" customHeight="1">
      <c r="A23" s="78"/>
      <c r="C23" s="86"/>
      <c r="D23" s="1143">
        <v>3</v>
      </c>
      <c r="E23" s="1145" t="s">
        <v>169</v>
      </c>
      <c r="F23" s="1147" t="s">
        <v>57</v>
      </c>
      <c r="G23" s="1150"/>
      <c r="H23" s="1152"/>
      <c r="I23" s="1154"/>
      <c r="J23" s="1156"/>
      <c r="K23" s="1141"/>
      <c r="L23" s="1141"/>
      <c r="M23" s="1141"/>
      <c r="N23" s="1159"/>
      <c r="O23" s="1141"/>
      <c r="P23" s="1141"/>
      <c r="Q23" s="1141"/>
      <c r="R23" s="1162"/>
      <c r="S23" s="1141"/>
      <c r="T23" s="800"/>
      <c r="U23" s="800"/>
      <c r="V23" s="801"/>
      <c r="W23" s="802"/>
      <c r="X23" s="785"/>
      <c r="Y23" s="785"/>
      <c r="Z23" s="785"/>
      <c r="AA23" s="785"/>
      <c r="AB23" s="785"/>
      <c r="AC23" s="150" t="s">
        <v>170</v>
      </c>
      <c r="AD23" s="150" t="s">
        <v>171</v>
      </c>
      <c r="AE23" s="150" t="s">
        <v>172</v>
      </c>
      <c r="AF23" s="150" t="s">
        <v>173</v>
      </c>
      <c r="AG23" s="150" t="s">
        <v>174</v>
      </c>
      <c r="AH23" s="150" t="str">
        <f>IF($E$23=0,"",$E$23)</f>
        <v>Тарифы на теплоноситель, поставляемый теплоснабжающими организациями потребителям, другим теплоснабжающим организациям</v>
      </c>
      <c r="AI23" s="150" t="str">
        <f>IF($G$23=0,"",$G$23)</f>
        <v/>
      </c>
      <c r="AJ23" s="150" t="str">
        <f>IF($J$23=0,"",$J$23)</f>
        <v/>
      </c>
      <c r="AK23" s="150" t="str">
        <f>IF($K$23="нет","без дифференциации",IF($N$23=0,"",$N$23))</f>
        <v/>
      </c>
      <c r="AL23" s="150" t="str">
        <f>IF($O$23="нет","без дифференциации",IF($R$23=0,"",$R$23))</f>
        <v/>
      </c>
      <c r="AM23" s="150" t="str">
        <f>IF($S$23="нет","без дифференциации",IF($V$23=0,"",$V$23))</f>
        <v/>
      </c>
      <c r="AN23" s="818">
        <f>$I$23</f>
        <v>0</v>
      </c>
      <c r="AO23" s="150" t="str">
        <f>$I$23&amp;"."&amp;$M$23</f>
        <v>.</v>
      </c>
      <c r="AP23" s="79" t="str">
        <f>$I$23&amp;"."&amp;$M$23&amp;"."&amp;$Q$23</f>
        <v>..</v>
      </c>
      <c r="AQ23" s="79" t="str">
        <f>$I$23&amp;"."&amp;$M$23&amp;"."&amp;$Q$23&amp;"."&amp;$U$23</f>
        <v>...</v>
      </c>
    </row>
    <row r="24" spans="1:43" s="44" customFormat="1" ht="17.25" hidden="1" customHeight="1">
      <c r="A24" s="78"/>
      <c r="D24" s="1143"/>
      <c r="E24" s="1145"/>
      <c r="F24" s="1148"/>
      <c r="G24" s="1150"/>
      <c r="H24" s="1153"/>
      <c r="I24" s="1155"/>
      <c r="J24" s="1157"/>
      <c r="K24" s="1142"/>
      <c r="L24" s="1142"/>
      <c r="M24" s="1142"/>
      <c r="N24" s="1160"/>
      <c r="O24" s="1142"/>
      <c r="P24" s="1142"/>
      <c r="Q24" s="1142"/>
      <c r="R24" s="1161"/>
      <c r="S24" s="1142"/>
      <c r="T24" s="803"/>
      <c r="U24" s="803"/>
      <c r="V24" s="803"/>
      <c r="W24" s="804"/>
      <c r="X24" s="369"/>
      <c r="Y24" s="369"/>
      <c r="Z24" s="369"/>
      <c r="AA24" s="369"/>
      <c r="AB24" s="369"/>
      <c r="AC24" s="79"/>
      <c r="AD24" s="79"/>
      <c r="AE24" s="79"/>
      <c r="AF24" s="79"/>
      <c r="AG24" s="79"/>
      <c r="AH24" s="79"/>
      <c r="AI24" s="79"/>
      <c r="AJ24" s="79"/>
      <c r="AK24" s="79"/>
      <c r="AL24" s="79"/>
      <c r="AM24" s="79"/>
      <c r="AN24" s="79"/>
      <c r="AO24" s="79"/>
      <c r="AP24" s="79"/>
      <c r="AQ24" s="79"/>
    </row>
    <row r="25" spans="1:43" s="44" customFormat="1" ht="17.25" hidden="1" customHeight="1">
      <c r="A25" s="78"/>
      <c r="D25" s="1144"/>
      <c r="E25" s="1146"/>
      <c r="F25" s="1148"/>
      <c r="G25" s="1151"/>
      <c r="H25" s="1153"/>
      <c r="I25" s="1155"/>
      <c r="J25" s="1158"/>
      <c r="K25" s="1142"/>
      <c r="L25" s="1142"/>
      <c r="M25" s="1142"/>
      <c r="N25" s="1161"/>
      <c r="O25" s="1142"/>
      <c r="P25" s="214"/>
      <c r="Q25" s="803"/>
      <c r="R25" s="803"/>
      <c r="W25" s="804"/>
      <c r="X25" s="369"/>
      <c r="Y25" s="369"/>
      <c r="Z25" s="369"/>
      <c r="AA25" s="369"/>
      <c r="AB25" s="369"/>
      <c r="AC25" s="79"/>
      <c r="AD25" s="79"/>
      <c r="AE25" s="79"/>
      <c r="AF25" s="79"/>
      <c r="AG25" s="79"/>
      <c r="AH25" s="79"/>
      <c r="AI25" s="79"/>
      <c r="AJ25" s="79"/>
      <c r="AK25" s="79"/>
      <c r="AL25" s="79"/>
      <c r="AM25" s="79"/>
      <c r="AN25" s="79"/>
      <c r="AO25" s="79"/>
      <c r="AP25" s="79"/>
      <c r="AQ25" s="79"/>
    </row>
    <row r="26" spans="1:43" s="44" customFormat="1" ht="17.25" hidden="1" customHeight="1">
      <c r="A26" s="78"/>
      <c r="D26" s="1144"/>
      <c r="E26" s="1146"/>
      <c r="F26" s="1148"/>
      <c r="G26" s="1151"/>
      <c r="H26" s="1153"/>
      <c r="I26" s="1155"/>
      <c r="J26" s="1158"/>
      <c r="K26" s="1142"/>
      <c r="L26" s="803"/>
      <c r="M26" s="803"/>
      <c r="N26" s="803"/>
      <c r="O26" s="803"/>
      <c r="P26" s="803"/>
      <c r="Q26" s="803"/>
      <c r="R26" s="803"/>
      <c r="W26" s="804"/>
      <c r="X26" s="369"/>
      <c r="Y26" s="369"/>
      <c r="Z26" s="369"/>
      <c r="AA26" s="369"/>
      <c r="AB26" s="369"/>
      <c r="AC26" s="79"/>
      <c r="AD26" s="79"/>
      <c r="AE26" s="79"/>
      <c r="AF26" s="79"/>
      <c r="AG26" s="79"/>
      <c r="AH26" s="79"/>
      <c r="AI26" s="79"/>
      <c r="AJ26" s="79"/>
      <c r="AK26" s="79"/>
      <c r="AL26" s="79"/>
      <c r="AM26" s="79"/>
      <c r="AN26" s="79"/>
      <c r="AO26" s="79"/>
      <c r="AP26" s="79"/>
      <c r="AQ26" s="79"/>
    </row>
    <row r="27" spans="1:43" s="44" customFormat="1" ht="17.25" hidden="1" customHeight="1">
      <c r="A27" s="78"/>
      <c r="D27" s="1144"/>
      <c r="E27" s="1146"/>
      <c r="F27" s="1149"/>
      <c r="G27" s="1151"/>
      <c r="H27" s="805"/>
      <c r="I27" s="806"/>
      <c r="J27" s="806"/>
      <c r="K27" s="806"/>
      <c r="L27" s="806"/>
      <c r="M27" s="806"/>
      <c r="N27" s="806"/>
      <c r="O27" s="806"/>
      <c r="P27" s="806"/>
      <c r="Q27" s="806"/>
      <c r="R27" s="806"/>
      <c r="S27" s="807"/>
      <c r="T27" s="807"/>
      <c r="U27" s="807"/>
      <c r="V27" s="807"/>
      <c r="W27" s="808"/>
      <c r="X27" s="369"/>
      <c r="Y27" s="369"/>
      <c r="Z27" s="369"/>
      <c r="AA27" s="369"/>
      <c r="AB27" s="369"/>
      <c r="AC27" s="79"/>
      <c r="AD27" s="79"/>
      <c r="AE27" s="79"/>
      <c r="AF27" s="79"/>
      <c r="AG27" s="79"/>
      <c r="AH27" s="79"/>
      <c r="AI27" s="79"/>
      <c r="AJ27" s="79"/>
      <c r="AK27" s="79"/>
      <c r="AL27" s="79"/>
      <c r="AM27" s="79"/>
      <c r="AN27" s="79"/>
      <c r="AO27" s="79"/>
      <c r="AP27" s="79"/>
      <c r="AQ27" s="79"/>
    </row>
    <row r="28" spans="1:43" s="44" customFormat="1" ht="17.25" hidden="1" customHeight="1">
      <c r="A28" s="78"/>
      <c r="C28" s="86"/>
      <c r="D28" s="1143">
        <v>4</v>
      </c>
      <c r="E28" s="1145" t="s">
        <v>175</v>
      </c>
      <c r="F28" s="1147" t="s">
        <v>57</v>
      </c>
      <c r="G28" s="1150"/>
      <c r="H28" s="1152"/>
      <c r="I28" s="1154"/>
      <c r="J28" s="1156"/>
      <c r="K28" s="1141"/>
      <c r="L28" s="1141"/>
      <c r="M28" s="1141"/>
      <c r="N28" s="1159"/>
      <c r="O28" s="1141"/>
      <c r="P28" s="1141"/>
      <c r="Q28" s="1141"/>
      <c r="R28" s="1162"/>
      <c r="S28" s="1141"/>
      <c r="T28" s="800"/>
      <c r="U28" s="800"/>
      <c r="V28" s="801"/>
      <c r="W28" s="802"/>
      <c r="X28" s="785"/>
      <c r="Y28" s="785"/>
      <c r="Z28" s="785"/>
      <c r="AA28" s="785"/>
      <c r="AB28" s="785"/>
      <c r="AC28" s="150" t="s">
        <v>176</v>
      </c>
      <c r="AD28" s="150" t="s">
        <v>177</v>
      </c>
      <c r="AE28" s="150" t="s">
        <v>178</v>
      </c>
      <c r="AF28" s="150" t="s">
        <v>179</v>
      </c>
      <c r="AG28" s="150" t="s">
        <v>180</v>
      </c>
      <c r="AH28" s="150"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50" t="str">
        <f>IF($G$28=0,"",$G$28)</f>
        <v/>
      </c>
      <c r="AJ28" s="150" t="str">
        <f>IF($J$28=0,"",$J$28)</f>
        <v/>
      </c>
      <c r="AK28" s="150" t="str">
        <f>IF($K$28="нет","без дифференциации",IF($N$28=0,"",$N$28))</f>
        <v/>
      </c>
      <c r="AL28" s="150" t="str">
        <f>IF($O$28="нет","без дифференциации",IF($R$28=0,"",$R$28))</f>
        <v/>
      </c>
      <c r="AM28" s="150" t="str">
        <f>IF($S$28="нет","без дифференциации",IF($V$28=0,"",$V$28))</f>
        <v/>
      </c>
      <c r="AN28" s="818">
        <f>$I$28</f>
        <v>0</v>
      </c>
      <c r="AO28" s="150" t="str">
        <f>$I$28&amp;"."&amp;$M$28</f>
        <v>.</v>
      </c>
      <c r="AP28" s="79" t="str">
        <f>$I$28&amp;"."&amp;$M$28&amp;"."&amp;$Q$28</f>
        <v>..</v>
      </c>
      <c r="AQ28" s="79" t="str">
        <f>$I$28&amp;"."&amp;$M$28&amp;"."&amp;$Q$28&amp;"."&amp;$U$28</f>
        <v>...</v>
      </c>
    </row>
    <row r="29" spans="1:43" s="44" customFormat="1" ht="17.25" hidden="1" customHeight="1">
      <c r="A29" s="78"/>
      <c r="D29" s="1143"/>
      <c r="E29" s="1145"/>
      <c r="F29" s="1148"/>
      <c r="G29" s="1150"/>
      <c r="H29" s="1153"/>
      <c r="I29" s="1155"/>
      <c r="J29" s="1157"/>
      <c r="K29" s="1142"/>
      <c r="L29" s="1142"/>
      <c r="M29" s="1142"/>
      <c r="N29" s="1160"/>
      <c r="O29" s="1142"/>
      <c r="P29" s="1142"/>
      <c r="Q29" s="1142"/>
      <c r="R29" s="1161"/>
      <c r="S29" s="1142"/>
      <c r="T29" s="803"/>
      <c r="U29" s="803"/>
      <c r="V29" s="803"/>
      <c r="W29" s="804"/>
      <c r="X29" s="369"/>
      <c r="Y29" s="369"/>
      <c r="Z29" s="369"/>
      <c r="AA29" s="369"/>
      <c r="AB29" s="369"/>
      <c r="AC29" s="79"/>
      <c r="AD29" s="79"/>
      <c r="AE29" s="79"/>
      <c r="AF29" s="79"/>
      <c r="AG29" s="79"/>
      <c r="AH29" s="79"/>
      <c r="AI29" s="79"/>
      <c r="AJ29" s="79"/>
      <c r="AK29" s="79"/>
      <c r="AL29" s="79"/>
      <c r="AM29" s="79"/>
      <c r="AN29" s="79"/>
      <c r="AO29" s="79"/>
      <c r="AP29" s="79"/>
      <c r="AQ29" s="79"/>
    </row>
    <row r="30" spans="1:43" s="44" customFormat="1" ht="17.25" hidden="1" customHeight="1">
      <c r="A30" s="78"/>
      <c r="D30" s="1144"/>
      <c r="E30" s="1146"/>
      <c r="F30" s="1148"/>
      <c r="G30" s="1151"/>
      <c r="H30" s="1153"/>
      <c r="I30" s="1155"/>
      <c r="J30" s="1158"/>
      <c r="K30" s="1142"/>
      <c r="L30" s="1142"/>
      <c r="M30" s="1142"/>
      <c r="N30" s="1161"/>
      <c r="O30" s="1142"/>
      <c r="P30" s="214"/>
      <c r="Q30" s="803"/>
      <c r="R30" s="803"/>
      <c r="W30" s="804"/>
      <c r="X30" s="369"/>
      <c r="Y30" s="369"/>
      <c r="Z30" s="369"/>
      <c r="AA30" s="369"/>
      <c r="AB30" s="369"/>
      <c r="AC30" s="79"/>
      <c r="AD30" s="79"/>
      <c r="AE30" s="79"/>
      <c r="AF30" s="79"/>
      <c r="AG30" s="79"/>
      <c r="AH30" s="79"/>
      <c r="AI30" s="79"/>
      <c r="AJ30" s="79"/>
      <c r="AK30" s="79"/>
      <c r="AL30" s="79"/>
      <c r="AM30" s="79"/>
      <c r="AN30" s="79"/>
      <c r="AO30" s="79"/>
      <c r="AP30" s="79"/>
      <c r="AQ30" s="79"/>
    </row>
    <row r="31" spans="1:43" s="44" customFormat="1" ht="17.25" hidden="1" customHeight="1">
      <c r="A31" s="78"/>
      <c r="D31" s="1144"/>
      <c r="E31" s="1146"/>
      <c r="F31" s="1148"/>
      <c r="G31" s="1151"/>
      <c r="H31" s="1153"/>
      <c r="I31" s="1155"/>
      <c r="J31" s="1158"/>
      <c r="K31" s="1142"/>
      <c r="L31" s="803"/>
      <c r="M31" s="803"/>
      <c r="N31" s="803"/>
      <c r="O31" s="803"/>
      <c r="P31" s="803"/>
      <c r="Q31" s="803"/>
      <c r="R31" s="803"/>
      <c r="W31" s="804"/>
      <c r="X31" s="369"/>
      <c r="Y31" s="369"/>
      <c r="Z31" s="369"/>
      <c r="AA31" s="369"/>
      <c r="AB31" s="369"/>
      <c r="AC31" s="79"/>
      <c r="AD31" s="79"/>
      <c r="AE31" s="79"/>
      <c r="AF31" s="79"/>
      <c r="AG31" s="79"/>
      <c r="AH31" s="79"/>
      <c r="AI31" s="79"/>
      <c r="AJ31" s="79"/>
      <c r="AK31" s="79"/>
      <c r="AL31" s="79"/>
      <c r="AM31" s="79"/>
      <c r="AN31" s="79"/>
      <c r="AO31" s="79"/>
      <c r="AP31" s="79"/>
      <c r="AQ31" s="79"/>
    </row>
    <row r="32" spans="1:43" s="44" customFormat="1" ht="17.25" hidden="1" customHeight="1">
      <c r="A32" s="78"/>
      <c r="D32" s="1144"/>
      <c r="E32" s="1146"/>
      <c r="F32" s="1149"/>
      <c r="G32" s="1151"/>
      <c r="H32" s="805"/>
      <c r="I32" s="806"/>
      <c r="J32" s="806"/>
      <c r="K32" s="806"/>
      <c r="L32" s="806"/>
      <c r="M32" s="806"/>
      <c r="N32" s="806"/>
      <c r="O32" s="806"/>
      <c r="P32" s="806"/>
      <c r="Q32" s="806"/>
      <c r="R32" s="806"/>
      <c r="S32" s="807"/>
      <c r="T32" s="807"/>
      <c r="U32" s="807"/>
      <c r="V32" s="807"/>
      <c r="W32" s="808"/>
      <c r="X32" s="369"/>
      <c r="Y32" s="369"/>
      <c r="Z32" s="369"/>
      <c r="AA32" s="369"/>
      <c r="AB32" s="369"/>
      <c r="AC32" s="79"/>
      <c r="AD32" s="79"/>
      <c r="AE32" s="79"/>
      <c r="AF32" s="79"/>
      <c r="AG32" s="79"/>
      <c r="AH32" s="79"/>
      <c r="AI32" s="79"/>
      <c r="AJ32" s="79"/>
      <c r="AK32" s="79"/>
      <c r="AL32" s="79"/>
      <c r="AM32" s="79"/>
      <c r="AN32" s="79"/>
      <c r="AO32" s="79"/>
      <c r="AP32" s="79"/>
      <c r="AQ32" s="79"/>
    </row>
    <row r="33" spans="1:43" s="44" customFormat="1" ht="17.25" hidden="1" customHeight="1">
      <c r="A33" s="78"/>
      <c r="C33" s="86"/>
      <c r="D33" s="1143">
        <v>5</v>
      </c>
      <c r="E33" s="1145" t="s">
        <v>181</v>
      </c>
      <c r="F33" s="1147" t="s">
        <v>57</v>
      </c>
      <c r="G33" s="1150"/>
      <c r="H33" s="1152"/>
      <c r="I33" s="1154"/>
      <c r="J33" s="1156"/>
      <c r="K33" s="1141"/>
      <c r="L33" s="1141"/>
      <c r="M33" s="1141"/>
      <c r="N33" s="1159"/>
      <c r="O33" s="1141"/>
      <c r="P33" s="1141"/>
      <c r="Q33" s="1141"/>
      <c r="R33" s="1162"/>
      <c r="S33" s="1141"/>
      <c r="T33" s="800"/>
      <c r="U33" s="800"/>
      <c r="V33" s="801"/>
      <c r="W33" s="802"/>
      <c r="X33" s="785"/>
      <c r="Y33" s="785"/>
      <c r="Z33" s="785"/>
      <c r="AA33" s="785"/>
      <c r="AB33" s="785"/>
      <c r="AC33" s="150" t="s">
        <v>182</v>
      </c>
      <c r="AD33" s="150" t="s">
        <v>183</v>
      </c>
      <c r="AE33" s="150" t="s">
        <v>184</v>
      </c>
      <c r="AF33" s="150" t="s">
        <v>185</v>
      </c>
      <c r="AG33" s="150" t="s">
        <v>186</v>
      </c>
      <c r="AH33" s="150" t="str">
        <f>IF($E$33=0,"",$E$33)</f>
        <v>Тарифы на услуги по передаче тепловой энергии</v>
      </c>
      <c r="AI33" s="150" t="str">
        <f>IF($G$33=0,"",$G$33)</f>
        <v/>
      </c>
      <c r="AJ33" s="150" t="str">
        <f>IF($J$33=0,"",$J$33)</f>
        <v/>
      </c>
      <c r="AK33" s="150" t="str">
        <f>IF($K$33="нет","без дифференциации",IF($N$33=0,"",$N$33))</f>
        <v/>
      </c>
      <c r="AL33" s="150" t="str">
        <f>IF($O$33="нет","без дифференциации",IF($R$33=0,"",$R$33))</f>
        <v/>
      </c>
      <c r="AM33" s="150" t="str">
        <f>IF($S$33="нет","без дифференциации",IF($V$33=0,"",$V$33))</f>
        <v/>
      </c>
      <c r="AN33" s="818">
        <f>$I$33</f>
        <v>0</v>
      </c>
      <c r="AO33" s="150" t="str">
        <f>$I$33&amp;"."&amp;$M$33</f>
        <v>.</v>
      </c>
      <c r="AP33" s="79" t="str">
        <f>$I$33&amp;"."&amp;$M$33&amp;"."&amp;$Q$33</f>
        <v>..</v>
      </c>
      <c r="AQ33" s="79" t="str">
        <f>$I$33&amp;"."&amp;$M$33&amp;"."&amp;$Q$33&amp;"."&amp;$U$33</f>
        <v>...</v>
      </c>
    </row>
    <row r="34" spans="1:43" s="44" customFormat="1" ht="17.25" hidden="1" customHeight="1">
      <c r="A34" s="78"/>
      <c r="D34" s="1143"/>
      <c r="E34" s="1145"/>
      <c r="F34" s="1148"/>
      <c r="G34" s="1150"/>
      <c r="H34" s="1153"/>
      <c r="I34" s="1155"/>
      <c r="J34" s="1157"/>
      <c r="K34" s="1142"/>
      <c r="L34" s="1142"/>
      <c r="M34" s="1142"/>
      <c r="N34" s="1160"/>
      <c r="O34" s="1142"/>
      <c r="P34" s="1142"/>
      <c r="Q34" s="1142"/>
      <c r="R34" s="1161"/>
      <c r="S34" s="1142"/>
      <c r="T34" s="803"/>
      <c r="U34" s="803"/>
      <c r="V34" s="803"/>
      <c r="W34" s="804"/>
      <c r="X34" s="369"/>
      <c r="Y34" s="369"/>
      <c r="Z34" s="369"/>
      <c r="AA34" s="369"/>
      <c r="AB34" s="369"/>
      <c r="AC34" s="79"/>
      <c r="AD34" s="79"/>
      <c r="AE34" s="79"/>
      <c r="AF34" s="79"/>
      <c r="AG34" s="79"/>
      <c r="AH34" s="79"/>
      <c r="AI34" s="79"/>
      <c r="AJ34" s="79"/>
      <c r="AK34" s="79"/>
      <c r="AL34" s="79"/>
      <c r="AM34" s="79"/>
      <c r="AN34" s="79"/>
      <c r="AO34" s="79"/>
      <c r="AP34" s="79"/>
      <c r="AQ34" s="79"/>
    </row>
    <row r="35" spans="1:43" s="44" customFormat="1" ht="17.25" hidden="1" customHeight="1">
      <c r="A35" s="78"/>
      <c r="D35" s="1144"/>
      <c r="E35" s="1146"/>
      <c r="F35" s="1148"/>
      <c r="G35" s="1151"/>
      <c r="H35" s="1153"/>
      <c r="I35" s="1155"/>
      <c r="J35" s="1158"/>
      <c r="K35" s="1142"/>
      <c r="L35" s="1142"/>
      <c r="M35" s="1142"/>
      <c r="N35" s="1161"/>
      <c r="O35" s="1142"/>
      <c r="P35" s="214"/>
      <c r="Q35" s="803"/>
      <c r="R35" s="803"/>
      <c r="W35" s="804"/>
      <c r="X35" s="369"/>
      <c r="Y35" s="369"/>
      <c r="Z35" s="369"/>
      <c r="AA35" s="369"/>
      <c r="AB35" s="369"/>
      <c r="AC35" s="79"/>
      <c r="AD35" s="79"/>
      <c r="AE35" s="79"/>
      <c r="AF35" s="79"/>
      <c r="AG35" s="79"/>
      <c r="AH35" s="79"/>
      <c r="AI35" s="79"/>
      <c r="AJ35" s="79"/>
      <c r="AK35" s="79"/>
      <c r="AL35" s="79"/>
      <c r="AM35" s="79"/>
      <c r="AN35" s="79"/>
      <c r="AO35" s="79"/>
      <c r="AP35" s="79"/>
      <c r="AQ35" s="79"/>
    </row>
    <row r="36" spans="1:43" s="44" customFormat="1" ht="17.25" hidden="1" customHeight="1">
      <c r="A36" s="78"/>
      <c r="D36" s="1144"/>
      <c r="E36" s="1146"/>
      <c r="F36" s="1148"/>
      <c r="G36" s="1151"/>
      <c r="H36" s="1153"/>
      <c r="I36" s="1155"/>
      <c r="J36" s="1158"/>
      <c r="K36" s="1142"/>
      <c r="L36" s="803"/>
      <c r="M36" s="803"/>
      <c r="N36" s="803"/>
      <c r="O36" s="803"/>
      <c r="P36" s="803"/>
      <c r="Q36" s="803"/>
      <c r="R36" s="803"/>
      <c r="W36" s="804"/>
      <c r="X36" s="369"/>
      <c r="Y36" s="369"/>
      <c r="Z36" s="369"/>
      <c r="AA36" s="369"/>
      <c r="AB36" s="369"/>
      <c r="AC36" s="79"/>
      <c r="AD36" s="79"/>
      <c r="AE36" s="79"/>
      <c r="AF36" s="79"/>
      <c r="AG36" s="79"/>
      <c r="AH36" s="79"/>
      <c r="AI36" s="79"/>
      <c r="AJ36" s="79"/>
      <c r="AK36" s="79"/>
      <c r="AL36" s="79"/>
      <c r="AM36" s="79"/>
      <c r="AN36" s="79"/>
      <c r="AO36" s="79"/>
      <c r="AP36" s="79"/>
      <c r="AQ36" s="79"/>
    </row>
    <row r="37" spans="1:43" s="44" customFormat="1" ht="17.25" hidden="1" customHeight="1">
      <c r="A37" s="78"/>
      <c r="D37" s="1144"/>
      <c r="E37" s="1146"/>
      <c r="F37" s="1149"/>
      <c r="G37" s="1151"/>
      <c r="H37" s="805"/>
      <c r="I37" s="806"/>
      <c r="J37" s="806"/>
      <c r="K37" s="806"/>
      <c r="L37" s="806"/>
      <c r="M37" s="806"/>
      <c r="N37" s="806"/>
      <c r="O37" s="806"/>
      <c r="P37" s="806"/>
      <c r="Q37" s="806"/>
      <c r="R37" s="806"/>
      <c r="S37" s="807"/>
      <c r="T37" s="807"/>
      <c r="U37" s="807"/>
      <c r="V37" s="807"/>
      <c r="W37" s="808"/>
      <c r="X37" s="369"/>
      <c r="Y37" s="369"/>
      <c r="Z37" s="369"/>
      <c r="AA37" s="369"/>
      <c r="AB37" s="369"/>
      <c r="AC37" s="79"/>
      <c r="AD37" s="79"/>
      <c r="AE37" s="79"/>
      <c r="AF37" s="79"/>
      <c r="AG37" s="79"/>
      <c r="AH37" s="79"/>
      <c r="AI37" s="79"/>
      <c r="AJ37" s="79"/>
      <c r="AK37" s="79"/>
      <c r="AL37" s="79"/>
      <c r="AM37" s="79"/>
      <c r="AN37" s="79"/>
      <c r="AO37" s="79"/>
      <c r="AP37" s="79"/>
      <c r="AQ37" s="79"/>
    </row>
    <row r="38" spans="1:43" s="44" customFormat="1" ht="17.25" hidden="1" customHeight="1">
      <c r="A38" s="78"/>
      <c r="C38" s="86"/>
      <c r="D38" s="1143">
        <v>6</v>
      </c>
      <c r="E38" s="1145" t="s">
        <v>187</v>
      </c>
      <c r="F38" s="1147" t="s">
        <v>57</v>
      </c>
      <c r="G38" s="1150"/>
      <c r="H38" s="1152"/>
      <c r="I38" s="1154"/>
      <c r="J38" s="1156"/>
      <c r="K38" s="1141"/>
      <c r="L38" s="1141"/>
      <c r="M38" s="1141"/>
      <c r="N38" s="1159"/>
      <c r="O38" s="1141"/>
      <c r="P38" s="1141"/>
      <c r="Q38" s="1141"/>
      <c r="R38" s="1162"/>
      <c r="S38" s="1141"/>
      <c r="T38" s="800"/>
      <c r="U38" s="800"/>
      <c r="V38" s="801"/>
      <c r="W38" s="802"/>
      <c r="X38" s="785"/>
      <c r="Y38" s="785"/>
      <c r="Z38" s="785"/>
      <c r="AA38" s="785"/>
      <c r="AB38" s="785"/>
      <c r="AC38" s="150" t="s">
        <v>188</v>
      </c>
      <c r="AD38" s="150" t="s">
        <v>189</v>
      </c>
      <c r="AE38" s="150" t="s">
        <v>190</v>
      </c>
      <c r="AF38" s="150" t="s">
        <v>191</v>
      </c>
      <c r="AG38" s="150" t="s">
        <v>192</v>
      </c>
      <c r="AH38" s="150" t="str">
        <f>IF($E$38=0,"",$E$38)</f>
        <v>Тарифы на услуги по передаче теплоносителя</v>
      </c>
      <c r="AI38" s="150" t="str">
        <f>IF($G$38=0,"",$G$38)</f>
        <v/>
      </c>
      <c r="AJ38" s="150" t="str">
        <f>IF($J$38=0,"",$J$38)</f>
        <v/>
      </c>
      <c r="AK38" s="150" t="str">
        <f>IF($K$38="нет","без дифференциации",IF($N$38=0,"",$N$38))</f>
        <v/>
      </c>
      <c r="AL38" s="150" t="str">
        <f>IF($O$38="нет","без дифференциации",IF($R$38=0,"",$R$38))</f>
        <v/>
      </c>
      <c r="AM38" s="150" t="str">
        <f>IF($S$38="нет","без дифференциации",IF($V$38=0,"",$V$38))</f>
        <v/>
      </c>
      <c r="AN38" s="818">
        <f>$I$38</f>
        <v>0</v>
      </c>
      <c r="AO38" s="150" t="str">
        <f>$I$38&amp;"."&amp;$M$38</f>
        <v>.</v>
      </c>
      <c r="AP38" s="79" t="str">
        <f>$I$38&amp;"."&amp;$M$38&amp;"."&amp;$Q$38</f>
        <v>..</v>
      </c>
      <c r="AQ38" s="79" t="str">
        <f>$I$38&amp;"."&amp;$M$38&amp;"."&amp;$Q$38&amp;"."&amp;$U$38</f>
        <v>...</v>
      </c>
    </row>
    <row r="39" spans="1:43" s="44" customFormat="1" ht="17.25" hidden="1" customHeight="1">
      <c r="A39" s="78"/>
      <c r="D39" s="1143"/>
      <c r="E39" s="1145"/>
      <c r="F39" s="1148"/>
      <c r="G39" s="1150"/>
      <c r="H39" s="1153"/>
      <c r="I39" s="1155"/>
      <c r="J39" s="1157"/>
      <c r="K39" s="1142"/>
      <c r="L39" s="1142"/>
      <c r="M39" s="1142"/>
      <c r="N39" s="1160"/>
      <c r="O39" s="1142"/>
      <c r="P39" s="1142"/>
      <c r="Q39" s="1142"/>
      <c r="R39" s="1161"/>
      <c r="S39" s="1142"/>
      <c r="T39" s="803"/>
      <c r="U39" s="803"/>
      <c r="V39" s="803"/>
      <c r="W39" s="804"/>
      <c r="X39" s="369"/>
      <c r="Y39" s="369"/>
      <c r="Z39" s="369"/>
      <c r="AA39" s="369"/>
      <c r="AB39" s="369"/>
      <c r="AC39" s="79"/>
      <c r="AD39" s="79"/>
      <c r="AE39" s="79"/>
      <c r="AF39" s="79"/>
      <c r="AG39" s="79"/>
      <c r="AH39" s="79"/>
      <c r="AI39" s="79"/>
      <c r="AJ39" s="79"/>
      <c r="AK39" s="79"/>
      <c r="AL39" s="79"/>
      <c r="AM39" s="79"/>
      <c r="AN39" s="79"/>
      <c r="AO39" s="79"/>
      <c r="AP39" s="79"/>
      <c r="AQ39" s="79"/>
    </row>
    <row r="40" spans="1:43" s="44" customFormat="1" ht="17.25" hidden="1" customHeight="1">
      <c r="A40" s="78"/>
      <c r="D40" s="1144"/>
      <c r="E40" s="1146"/>
      <c r="F40" s="1148"/>
      <c r="G40" s="1151"/>
      <c r="H40" s="1153"/>
      <c r="I40" s="1155"/>
      <c r="J40" s="1158"/>
      <c r="K40" s="1142"/>
      <c r="L40" s="1142"/>
      <c r="M40" s="1142"/>
      <c r="N40" s="1161"/>
      <c r="O40" s="1142"/>
      <c r="P40" s="214"/>
      <c r="Q40" s="803"/>
      <c r="R40" s="803"/>
      <c r="W40" s="804"/>
      <c r="X40" s="369"/>
      <c r="Y40" s="369"/>
      <c r="Z40" s="369"/>
      <c r="AA40" s="369"/>
      <c r="AB40" s="369"/>
      <c r="AC40" s="79"/>
      <c r="AD40" s="79"/>
      <c r="AE40" s="79"/>
      <c r="AF40" s="79"/>
      <c r="AG40" s="79"/>
      <c r="AH40" s="79"/>
      <c r="AI40" s="79"/>
      <c r="AJ40" s="79"/>
      <c r="AK40" s="79"/>
      <c r="AL40" s="79"/>
      <c r="AM40" s="79"/>
      <c r="AN40" s="79"/>
      <c r="AO40" s="79"/>
      <c r="AP40" s="79"/>
      <c r="AQ40" s="79"/>
    </row>
    <row r="41" spans="1:43" s="44" customFormat="1" ht="17.25" hidden="1" customHeight="1">
      <c r="A41" s="78"/>
      <c r="C41" s="86"/>
      <c r="D41" s="1144"/>
      <c r="E41" s="1146"/>
      <c r="F41" s="1148"/>
      <c r="G41" s="1151"/>
      <c r="H41" s="1153"/>
      <c r="I41" s="1155"/>
      <c r="J41" s="1158"/>
      <c r="K41" s="1142"/>
      <c r="L41" s="803"/>
      <c r="M41" s="803"/>
      <c r="N41" s="803"/>
      <c r="O41" s="803"/>
      <c r="P41" s="803"/>
      <c r="Q41" s="803"/>
      <c r="R41" s="803"/>
      <c r="W41" s="804"/>
      <c r="Y41" s="785"/>
      <c r="Z41" s="785"/>
      <c r="AA41" s="785"/>
      <c r="AB41" s="785"/>
      <c r="AC41" s="150" t="s">
        <v>188</v>
      </c>
      <c r="AD41" s="150" t="s">
        <v>189</v>
      </c>
      <c r="AE41" s="150" t="s">
        <v>193</v>
      </c>
      <c r="AF41" s="150" t="s">
        <v>194</v>
      </c>
      <c r="AG41" s="150" t="s">
        <v>195</v>
      </c>
      <c r="AH41" s="150" t="str">
        <f>IF($E$38=0,"",$E$38)</f>
        <v>Тарифы на услуги по передаче теплоносителя</v>
      </c>
      <c r="AI41" s="150" t="str">
        <f>IF($G$38=0,"",$G$38)</f>
        <v/>
      </c>
      <c r="AJ41" s="150" t="str">
        <f>IF($J$38=0,"",$J$38)</f>
        <v/>
      </c>
      <c r="AK41" s="150" t="str">
        <f>IF($K$41="нет","без дифференциации",IF($N$41=0,"",$N$41))</f>
        <v/>
      </c>
      <c r="AL41" s="150" t="str">
        <f>IF($O$41="нет","без дифференциации",IF($R$41=0,"",$R$41))</f>
        <v/>
      </c>
      <c r="AM41" s="150" t="str">
        <f>IF($S$41="нет","без дифференциации",IF($V$41=0,"",$V$41))</f>
        <v/>
      </c>
      <c r="AN41" s="150">
        <f>$I$38</f>
        <v>0</v>
      </c>
      <c r="AO41" s="150" t="str">
        <f>$I$38&amp;"."&amp;$M$41</f>
        <v>.</v>
      </c>
      <c r="AP41" s="150" t="str">
        <f>$I$38&amp;"."&amp;$M$41&amp;"."&amp;$Q$41</f>
        <v>..</v>
      </c>
      <c r="AQ41" s="150" t="str">
        <f>$I$38&amp;"."&amp;$M$41&amp;"."&amp;$Q$41&amp;"."&amp;$U$41</f>
        <v>...</v>
      </c>
    </row>
    <row r="42" spans="1:43" s="44" customFormat="1" ht="17.25" hidden="1" customHeight="1">
      <c r="A42" s="78"/>
      <c r="D42" s="1144"/>
      <c r="E42" s="1146"/>
      <c r="F42" s="1149"/>
      <c r="G42" s="1151"/>
      <c r="H42" s="805"/>
      <c r="I42" s="806"/>
      <c r="J42" s="806"/>
      <c r="K42" s="806"/>
      <c r="L42" s="806"/>
      <c r="M42" s="806"/>
      <c r="N42" s="806"/>
      <c r="O42" s="806"/>
      <c r="P42" s="806"/>
      <c r="Q42" s="806"/>
      <c r="R42" s="806"/>
      <c r="S42" s="807"/>
      <c r="T42" s="807"/>
      <c r="U42" s="807"/>
      <c r="V42" s="807"/>
      <c r="W42" s="808"/>
      <c r="X42" s="369"/>
      <c r="Y42" s="369"/>
      <c r="Z42" s="369"/>
      <c r="AA42" s="369"/>
      <c r="AB42" s="369"/>
      <c r="AC42" s="79"/>
      <c r="AD42" s="79"/>
      <c r="AE42" s="79"/>
      <c r="AF42" s="79"/>
      <c r="AG42" s="79"/>
      <c r="AH42" s="79"/>
      <c r="AI42" s="79"/>
      <c r="AJ42" s="79"/>
      <c r="AK42" s="79"/>
      <c r="AL42" s="79"/>
      <c r="AM42" s="79"/>
      <c r="AN42" s="79"/>
      <c r="AO42" s="79"/>
      <c r="AP42" s="79"/>
      <c r="AQ42" s="79"/>
    </row>
    <row r="43" spans="1:43" s="44" customFormat="1" ht="17.25" hidden="1" customHeight="1">
      <c r="A43" s="78"/>
      <c r="C43" s="86"/>
      <c r="D43" s="1166">
        <v>7</v>
      </c>
      <c r="E43" s="1169" t="s">
        <v>196</v>
      </c>
      <c r="F43" s="1147" t="s">
        <v>57</v>
      </c>
      <c r="G43" s="1172"/>
      <c r="H43" s="1152"/>
      <c r="I43" s="1154"/>
      <c r="J43" s="1156"/>
      <c r="K43" s="1141"/>
      <c r="L43" s="1141"/>
      <c r="M43" s="1141"/>
      <c r="N43" s="1159"/>
      <c r="O43" s="1141"/>
      <c r="P43" s="1141"/>
      <c r="Q43" s="1141"/>
      <c r="R43" s="1162"/>
      <c r="S43" s="1141"/>
      <c r="T43" s="800"/>
      <c r="U43" s="800"/>
      <c r="V43" s="801"/>
      <c r="W43" s="802"/>
      <c r="X43" s="785"/>
      <c r="Y43" s="785"/>
      <c r="Z43" s="785"/>
      <c r="AA43" s="785"/>
      <c r="AB43" s="785"/>
      <c r="AC43" s="150" t="s">
        <v>197</v>
      </c>
      <c r="AD43" s="150" t="s">
        <v>198</v>
      </c>
      <c r="AE43" s="150" t="s">
        <v>199</v>
      </c>
      <c r="AF43" s="150" t="s">
        <v>200</v>
      </c>
      <c r="AG43" s="150" t="s">
        <v>201</v>
      </c>
      <c r="AH43" s="150" t="str">
        <f>IF($E$43=0,"",$E$43)</f>
        <v>Плата за услуги по поддержанию резервной тепловой мощности при отсутствии потребления тепловой энергии</v>
      </c>
      <c r="AI43" s="150" t="str">
        <f>IF($G$43=0,"",$G$43)</f>
        <v/>
      </c>
      <c r="AJ43" s="150" t="str">
        <f>IF($J$43=0,"",$J$43)</f>
        <v/>
      </c>
      <c r="AK43" s="150" t="str">
        <f>IF($K$43="нет","без дифференциации",IF($N$43=0,"",$N$43))</f>
        <v/>
      </c>
      <c r="AL43" s="150" t="str">
        <f>IF($O$43="нет","без дифференциации",IF($R$43=0,"",$R$43))</f>
        <v/>
      </c>
      <c r="AM43" s="150" t="str">
        <f>IF($S$43="нет","без дифференциации",IF($V$43=0,"",$V$43))</f>
        <v/>
      </c>
      <c r="AN43" s="818">
        <f>$I$43</f>
        <v>0</v>
      </c>
      <c r="AO43" s="150" t="str">
        <f>$I$43&amp;"."&amp;$M$43</f>
        <v>.</v>
      </c>
      <c r="AP43" s="79" t="str">
        <f>$I$43&amp;"."&amp;$M$43&amp;"."&amp;$Q$43</f>
        <v>..</v>
      </c>
      <c r="AQ43" s="79" t="str">
        <f>$I$43&amp;"."&amp;$M$43&amp;"."&amp;$Q$43&amp;"."&amp;$U$43</f>
        <v>...</v>
      </c>
    </row>
    <row r="44" spans="1:43" s="44" customFormat="1" ht="17.25" hidden="1" customHeight="1">
      <c r="A44" s="78"/>
      <c r="D44" s="1167"/>
      <c r="E44" s="1170"/>
      <c r="F44" s="1148"/>
      <c r="G44" s="1173"/>
      <c r="H44" s="1153"/>
      <c r="I44" s="1155"/>
      <c r="J44" s="1157"/>
      <c r="K44" s="1142"/>
      <c r="L44" s="1142"/>
      <c r="M44" s="1142"/>
      <c r="N44" s="1160"/>
      <c r="O44" s="1142"/>
      <c r="P44" s="1142"/>
      <c r="Q44" s="1142"/>
      <c r="R44" s="1161"/>
      <c r="S44" s="1142"/>
      <c r="T44" s="803"/>
      <c r="U44" s="803"/>
      <c r="V44" s="803"/>
      <c r="W44" s="804"/>
      <c r="X44" s="369"/>
      <c r="Y44" s="369"/>
      <c r="Z44" s="369"/>
      <c r="AA44" s="369"/>
      <c r="AB44" s="369"/>
      <c r="AC44" s="79"/>
      <c r="AD44" s="79"/>
      <c r="AE44" s="79"/>
      <c r="AF44" s="79"/>
      <c r="AG44" s="79"/>
      <c r="AH44" s="79"/>
      <c r="AI44" s="79"/>
      <c r="AJ44" s="79"/>
      <c r="AK44" s="79"/>
      <c r="AL44" s="79"/>
      <c r="AM44" s="79"/>
      <c r="AN44" s="79"/>
      <c r="AO44" s="79"/>
      <c r="AP44" s="79"/>
      <c r="AQ44" s="79"/>
    </row>
    <row r="45" spans="1:43" s="44" customFormat="1" ht="17.25" hidden="1" customHeight="1">
      <c r="A45" s="78"/>
      <c r="D45" s="1167"/>
      <c r="E45" s="1170"/>
      <c r="F45" s="1148"/>
      <c r="G45" s="1173"/>
      <c r="H45" s="1153"/>
      <c r="I45" s="1155"/>
      <c r="J45" s="1158"/>
      <c r="K45" s="1142"/>
      <c r="L45" s="1142"/>
      <c r="M45" s="1142"/>
      <c r="N45" s="1161"/>
      <c r="O45" s="1142"/>
      <c r="P45" s="214"/>
      <c r="Q45" s="803"/>
      <c r="R45" s="803"/>
      <c r="W45" s="804"/>
      <c r="X45" s="369"/>
      <c r="Y45" s="369"/>
      <c r="Z45" s="369"/>
      <c r="AA45" s="369"/>
      <c r="AB45" s="369"/>
      <c r="AC45" s="79"/>
      <c r="AD45" s="79"/>
      <c r="AE45" s="79"/>
      <c r="AF45" s="79"/>
      <c r="AG45" s="79"/>
      <c r="AH45" s="79"/>
      <c r="AI45" s="79"/>
      <c r="AJ45" s="79"/>
      <c r="AK45" s="79"/>
      <c r="AL45" s="79"/>
      <c r="AM45" s="79"/>
      <c r="AN45" s="79"/>
      <c r="AO45" s="79"/>
      <c r="AP45" s="79"/>
      <c r="AQ45" s="79"/>
    </row>
    <row r="46" spans="1:43" s="44" customFormat="1" ht="17.25" hidden="1" customHeight="1">
      <c r="A46" s="78"/>
      <c r="C46" s="86"/>
      <c r="D46" s="1167"/>
      <c r="E46" s="1170"/>
      <c r="F46" s="1148"/>
      <c r="G46" s="1173"/>
      <c r="H46" s="1153"/>
      <c r="I46" s="1155"/>
      <c r="J46" s="1158"/>
      <c r="K46" s="1142"/>
      <c r="L46" s="803"/>
      <c r="M46" s="803"/>
      <c r="N46" s="803"/>
      <c r="O46" s="803"/>
      <c r="P46" s="803"/>
      <c r="Q46" s="803"/>
      <c r="R46" s="803"/>
      <c r="W46" s="804"/>
      <c r="Y46" s="785"/>
      <c r="Z46" s="785"/>
      <c r="AA46" s="785"/>
      <c r="AB46" s="785"/>
      <c r="AC46" s="150"/>
      <c r="AD46" s="150"/>
      <c r="AE46" s="150"/>
      <c r="AF46" s="150"/>
      <c r="AG46" s="150"/>
      <c r="AH46" s="150"/>
      <c r="AI46" s="150"/>
      <c r="AJ46" s="150"/>
      <c r="AK46" s="150"/>
      <c r="AL46" s="150"/>
      <c r="AM46" s="150"/>
      <c r="AN46" s="150"/>
      <c r="AO46" s="150"/>
      <c r="AP46" s="150"/>
      <c r="AQ46" s="150"/>
    </row>
    <row r="47" spans="1:43" s="44" customFormat="1" ht="17.25" hidden="1" customHeight="1">
      <c r="A47" s="78"/>
      <c r="D47" s="1168"/>
      <c r="E47" s="1171"/>
      <c r="F47" s="1149"/>
      <c r="G47" s="1174"/>
      <c r="H47" s="805"/>
      <c r="I47" s="806"/>
      <c r="J47" s="806"/>
      <c r="K47" s="806"/>
      <c r="L47" s="806"/>
      <c r="M47" s="806"/>
      <c r="N47" s="806"/>
      <c r="O47" s="806"/>
      <c r="P47" s="806"/>
      <c r="Q47" s="806"/>
      <c r="R47" s="806"/>
      <c r="S47" s="807"/>
      <c r="T47" s="807"/>
      <c r="U47" s="807"/>
      <c r="V47" s="807"/>
      <c r="W47" s="808"/>
      <c r="X47" s="369"/>
      <c r="Y47" s="369"/>
      <c r="Z47" s="369"/>
      <c r="AA47" s="369"/>
      <c r="AB47" s="369"/>
      <c r="AC47" s="79"/>
      <c r="AD47" s="79"/>
      <c r="AE47" s="79"/>
      <c r="AF47" s="79"/>
      <c r="AG47" s="79"/>
      <c r="AH47" s="79"/>
      <c r="AI47" s="79"/>
      <c r="AJ47" s="79"/>
      <c r="AK47" s="79"/>
      <c r="AL47" s="79"/>
      <c r="AM47" s="79"/>
      <c r="AN47" s="79"/>
      <c r="AO47" s="79"/>
      <c r="AP47" s="79"/>
      <c r="AQ47" s="79"/>
    </row>
    <row r="48" spans="1:43" s="44" customFormat="1" ht="17.25" hidden="1" customHeight="1">
      <c r="A48" s="78"/>
      <c r="C48" s="86"/>
      <c r="D48" s="1143">
        <v>8</v>
      </c>
      <c r="E48" s="1145" t="s">
        <v>202</v>
      </c>
      <c r="F48" s="1147" t="s">
        <v>57</v>
      </c>
      <c r="G48" s="1150"/>
      <c r="H48" s="1152"/>
      <c r="I48" s="1154"/>
      <c r="J48" s="1156"/>
      <c r="K48" s="1141"/>
      <c r="L48" s="1141"/>
      <c r="M48" s="1141"/>
      <c r="N48" s="1159"/>
      <c r="O48" s="1141"/>
      <c r="P48" s="1141"/>
      <c r="Q48" s="1141"/>
      <c r="R48" s="1162"/>
      <c r="S48" s="1141"/>
      <c r="T48" s="800"/>
      <c r="U48" s="800"/>
      <c r="V48" s="801"/>
      <c r="W48" s="802"/>
      <c r="X48" s="785"/>
      <c r="Y48" s="785"/>
      <c r="Z48" s="785"/>
      <c r="AA48" s="785"/>
      <c r="AB48" s="785"/>
      <c r="AC48" s="150" t="s">
        <v>203</v>
      </c>
      <c r="AD48" s="150" t="s">
        <v>204</v>
      </c>
      <c r="AE48" s="150" t="s">
        <v>205</v>
      </c>
      <c r="AF48" s="150" t="s">
        <v>206</v>
      </c>
      <c r="AG48" s="150" t="s">
        <v>207</v>
      </c>
      <c r="AH48" s="150" t="str">
        <f>IF($E$48=0,"",$E$48)</f>
        <v>Плата за подключение (технологическое присоединение) к системе теплоснабжения</v>
      </c>
      <c r="AI48" s="150" t="str">
        <f>IF($G$48=0,"",$G$48)</f>
        <v/>
      </c>
      <c r="AJ48" s="150" t="str">
        <f>IF($J$48=0,"",$J$48)</f>
        <v/>
      </c>
      <c r="AK48" s="150" t="str">
        <f>IF($K$48="нет","без дифференциации",IF($N$48=0,"",$N$48))</f>
        <v/>
      </c>
      <c r="AL48" s="150" t="str">
        <f>IF($O$48="нет","без дифференциации",IF($R$48=0,"",$R$48))</f>
        <v/>
      </c>
      <c r="AM48" s="150" t="str">
        <f>IF($S$48="нет","без дифференциации",IF($V$48=0,"",$V$48))</f>
        <v/>
      </c>
      <c r="AN48" s="818">
        <f>$I$48</f>
        <v>0</v>
      </c>
      <c r="AO48" s="150" t="str">
        <f>$I$48&amp;"."&amp;$M$48</f>
        <v>.</v>
      </c>
      <c r="AP48" s="79" t="str">
        <f>$I$48&amp;"."&amp;$M$48&amp;"."&amp;$Q$48</f>
        <v>..</v>
      </c>
      <c r="AQ48" s="79" t="str">
        <f>$I$48&amp;"."&amp;$M$48&amp;"."&amp;$Q$48&amp;"."&amp;$U$48</f>
        <v>...</v>
      </c>
    </row>
    <row r="49" spans="1:43" s="44" customFormat="1" ht="17.25" hidden="1" customHeight="1">
      <c r="A49" s="78"/>
      <c r="D49" s="1143"/>
      <c r="E49" s="1145"/>
      <c r="F49" s="1148"/>
      <c r="G49" s="1150"/>
      <c r="H49" s="1153"/>
      <c r="I49" s="1155"/>
      <c r="J49" s="1157"/>
      <c r="K49" s="1142"/>
      <c r="L49" s="1142"/>
      <c r="M49" s="1142"/>
      <c r="N49" s="1160"/>
      <c r="O49" s="1142"/>
      <c r="P49" s="1142"/>
      <c r="Q49" s="1142"/>
      <c r="R49" s="1161"/>
      <c r="S49" s="1142"/>
      <c r="T49" s="803"/>
      <c r="U49" s="803"/>
      <c r="V49" s="803"/>
      <c r="W49" s="804"/>
      <c r="X49" s="369"/>
      <c r="Y49" s="369"/>
      <c r="Z49" s="369"/>
      <c r="AA49" s="369"/>
      <c r="AB49" s="369"/>
      <c r="AC49" s="79"/>
      <c r="AD49" s="79"/>
      <c r="AE49" s="79"/>
      <c r="AF49" s="79"/>
      <c r="AG49" s="79"/>
      <c r="AH49" s="79"/>
      <c r="AI49" s="79"/>
      <c r="AJ49" s="79"/>
      <c r="AK49" s="79"/>
      <c r="AL49" s="79"/>
      <c r="AM49" s="79"/>
      <c r="AN49" s="79"/>
      <c r="AO49" s="79"/>
      <c r="AP49" s="79"/>
      <c r="AQ49" s="79"/>
    </row>
    <row r="50" spans="1:43" s="44" customFormat="1" ht="17.25" hidden="1" customHeight="1">
      <c r="A50" s="78"/>
      <c r="D50" s="1144"/>
      <c r="E50" s="1146"/>
      <c r="F50" s="1148"/>
      <c r="G50" s="1151"/>
      <c r="H50" s="1153"/>
      <c r="I50" s="1155"/>
      <c r="J50" s="1158"/>
      <c r="K50" s="1142"/>
      <c r="L50" s="1142"/>
      <c r="M50" s="1142"/>
      <c r="N50" s="1161"/>
      <c r="O50" s="1142"/>
      <c r="P50" s="214"/>
      <c r="Q50" s="803"/>
      <c r="R50" s="803"/>
      <c r="W50" s="804"/>
      <c r="X50" s="369"/>
      <c r="Y50" s="369"/>
      <c r="Z50" s="369"/>
      <c r="AA50" s="369"/>
      <c r="AB50" s="369"/>
      <c r="AC50" s="79"/>
      <c r="AD50" s="79"/>
      <c r="AE50" s="79"/>
      <c r="AF50" s="79"/>
      <c r="AG50" s="79"/>
      <c r="AH50" s="79"/>
      <c r="AI50" s="79"/>
      <c r="AJ50" s="79"/>
      <c r="AK50" s="79"/>
      <c r="AL50" s="79"/>
      <c r="AM50" s="79"/>
      <c r="AN50" s="79"/>
      <c r="AO50" s="79"/>
      <c r="AP50" s="79"/>
      <c r="AQ50" s="79"/>
    </row>
    <row r="51" spans="1:43" s="44" customFormat="1" ht="17.25" hidden="1" customHeight="1">
      <c r="A51" s="78"/>
      <c r="C51" s="86"/>
      <c r="D51" s="1144"/>
      <c r="E51" s="1146"/>
      <c r="F51" s="1148"/>
      <c r="G51" s="1151"/>
      <c r="H51" s="1153"/>
      <c r="I51" s="1155"/>
      <c r="J51" s="1158"/>
      <c r="K51" s="1142"/>
      <c r="L51" s="803"/>
      <c r="M51" s="803"/>
      <c r="N51" s="803"/>
      <c r="O51" s="803"/>
      <c r="P51" s="803"/>
      <c r="Q51" s="803"/>
      <c r="R51" s="803"/>
      <c r="W51" s="804"/>
      <c r="Y51" s="785"/>
      <c r="Z51" s="785"/>
      <c r="AA51" s="785"/>
      <c r="AB51" s="785"/>
      <c r="AC51" s="150"/>
      <c r="AD51" s="150"/>
      <c r="AE51" s="150"/>
      <c r="AF51" s="150"/>
      <c r="AG51" s="150"/>
      <c r="AH51" s="150"/>
      <c r="AI51" s="150"/>
      <c r="AJ51" s="150"/>
      <c r="AK51" s="150"/>
      <c r="AL51" s="150"/>
      <c r="AM51" s="150"/>
      <c r="AN51" s="150"/>
      <c r="AO51" s="150"/>
      <c r="AP51" s="150"/>
      <c r="AQ51" s="150"/>
    </row>
    <row r="52" spans="1:43" s="44" customFormat="1" ht="17.25" hidden="1" customHeight="1">
      <c r="A52" s="78"/>
      <c r="D52" s="1144"/>
      <c r="E52" s="1146"/>
      <c r="F52" s="1149"/>
      <c r="G52" s="1151"/>
      <c r="H52" s="805"/>
      <c r="I52" s="806"/>
      <c r="J52" s="806"/>
      <c r="K52" s="806"/>
      <c r="L52" s="806"/>
      <c r="M52" s="806"/>
      <c r="N52" s="806"/>
      <c r="O52" s="806"/>
      <c r="P52" s="806"/>
      <c r="Q52" s="806"/>
      <c r="R52" s="806"/>
      <c r="S52" s="807"/>
      <c r="T52" s="807"/>
      <c r="U52" s="807"/>
      <c r="V52" s="807"/>
      <c r="W52" s="808"/>
      <c r="X52" s="369"/>
      <c r="Y52" s="369"/>
      <c r="Z52" s="369"/>
      <c r="AA52" s="369"/>
      <c r="AB52" s="369"/>
      <c r="AC52" s="79"/>
      <c r="AD52" s="79"/>
      <c r="AE52" s="79"/>
      <c r="AF52" s="79"/>
      <c r="AG52" s="79"/>
      <c r="AH52" s="79"/>
      <c r="AI52" s="79"/>
      <c r="AJ52" s="79"/>
      <c r="AK52" s="79"/>
      <c r="AL52" s="79"/>
      <c r="AM52" s="79"/>
      <c r="AN52" s="79"/>
      <c r="AO52" s="79"/>
      <c r="AP52" s="79"/>
      <c r="AQ52" s="79"/>
    </row>
    <row r="53" spans="1:43" ht="11.25" hidden="1" customHeight="1"/>
    <row r="54" spans="1:43" ht="11.25" hidden="1" customHeight="1">
      <c r="E54" s="1165" t="s">
        <v>208</v>
      </c>
      <c r="F54" s="1165"/>
      <c r="G54" s="1165"/>
      <c r="H54" s="1165"/>
      <c r="I54" s="1165"/>
      <c r="J54" s="1165"/>
      <c r="K54" s="1165"/>
      <c r="L54" s="1165"/>
      <c r="M54" s="1165"/>
      <c r="N54" s="1165"/>
      <c r="O54" s="1165"/>
      <c r="P54" s="1165"/>
      <c r="Q54" s="1165"/>
      <c r="R54" s="1165"/>
      <c r="S54" s="1165"/>
      <c r="T54" s="1165"/>
      <c r="U54" s="1165"/>
      <c r="V54" s="1165"/>
      <c r="W54" s="1165"/>
    </row>
    <row r="55" spans="1:43" ht="36.75" hidden="1" customHeight="1">
      <c r="E55" s="1163" t="s">
        <v>209</v>
      </c>
      <c r="F55" s="1163"/>
      <c r="G55" s="1164"/>
      <c r="H55" s="1164"/>
      <c r="I55" s="1164"/>
      <c r="J55" s="1164"/>
      <c r="K55" s="1164"/>
      <c r="L55" s="1164"/>
      <c r="M55" s="1164"/>
      <c r="N55" s="1164"/>
      <c r="O55" s="1164"/>
      <c r="P55" s="1164"/>
      <c r="Q55" s="1164"/>
      <c r="R55" s="1164"/>
      <c r="S55" s="1164"/>
      <c r="T55" s="1164"/>
      <c r="U55" s="1164"/>
      <c r="V55" s="1164"/>
      <c r="W55" s="1164"/>
    </row>
    <row r="56" spans="1:43" ht="28.5" hidden="1" customHeight="1">
      <c r="E56" s="1163" t="s">
        <v>210</v>
      </c>
      <c r="F56" s="1163"/>
      <c r="G56" s="1164"/>
      <c r="H56" s="1164"/>
      <c r="I56" s="1164"/>
      <c r="J56" s="1164"/>
      <c r="K56" s="1164"/>
      <c r="L56" s="1164"/>
      <c r="M56" s="1164"/>
      <c r="N56" s="1164"/>
      <c r="O56" s="1164"/>
      <c r="P56" s="1164"/>
      <c r="Q56" s="1164"/>
      <c r="R56" s="1164"/>
      <c r="S56" s="1164"/>
      <c r="T56" s="1164"/>
      <c r="U56" s="1164"/>
      <c r="V56" s="1164"/>
      <c r="W56" s="1164"/>
    </row>
    <row r="57" spans="1:43" ht="27" hidden="1" customHeight="1">
      <c r="E57" s="1163" t="s">
        <v>211</v>
      </c>
      <c r="F57" s="1163"/>
      <c r="G57" s="1164"/>
      <c r="H57" s="1164"/>
      <c r="I57" s="1164"/>
      <c r="J57" s="1164"/>
      <c r="K57" s="1164"/>
      <c r="L57" s="1164"/>
      <c r="M57" s="1164"/>
      <c r="N57" s="1164"/>
      <c r="O57" s="1164"/>
      <c r="P57" s="1164"/>
      <c r="Q57" s="1164"/>
      <c r="R57" s="1164"/>
      <c r="S57" s="1164"/>
      <c r="T57" s="1164"/>
      <c r="U57" s="1164"/>
      <c r="V57" s="1164"/>
      <c r="W57" s="1164"/>
    </row>
    <row r="58" spans="1:43" ht="17.25" hidden="1" customHeight="1">
      <c r="E58" s="1163" t="s">
        <v>212</v>
      </c>
      <c r="F58" s="1163"/>
      <c r="G58" s="1164"/>
      <c r="H58" s="1164"/>
      <c r="I58" s="1164"/>
      <c r="J58" s="1164"/>
      <c r="K58" s="1164"/>
      <c r="L58" s="1164"/>
      <c r="M58" s="1164"/>
      <c r="N58" s="1164"/>
      <c r="O58" s="1164"/>
      <c r="P58" s="1164"/>
      <c r="Q58" s="1164"/>
      <c r="R58" s="1164"/>
      <c r="S58" s="1164"/>
      <c r="T58" s="1164"/>
      <c r="U58" s="1164"/>
      <c r="V58" s="1164"/>
      <c r="W58" s="1164"/>
    </row>
    <row r="59" spans="1:43" ht="15" hidden="1" customHeight="1">
      <c r="E59" s="212"/>
      <c r="F59" s="212"/>
      <c r="G59" s="81"/>
      <c r="H59" s="81"/>
      <c r="I59" s="81"/>
      <c r="J59" s="81"/>
      <c r="K59" s="81"/>
      <c r="L59" s="81"/>
      <c r="M59" s="81"/>
      <c r="N59" s="81"/>
      <c r="O59" s="81"/>
      <c r="P59" s="81"/>
      <c r="Q59" s="81"/>
      <c r="R59" s="81"/>
      <c r="S59" s="81"/>
      <c r="T59" s="81"/>
      <c r="U59" s="81"/>
      <c r="V59" s="81"/>
      <c r="W59" s="81"/>
    </row>
    <row r="60" spans="1:43" ht="15" hidden="1" customHeight="1">
      <c r="E60" s="1165" t="s">
        <v>213</v>
      </c>
      <c r="F60" s="1165"/>
      <c r="G60" s="1165"/>
      <c r="H60" s="1165"/>
      <c r="I60" s="1165"/>
      <c r="J60" s="1165"/>
      <c r="K60" s="1165"/>
      <c r="L60" s="1165"/>
      <c r="M60" s="1165"/>
      <c r="N60" s="1165"/>
      <c r="O60" s="1165"/>
      <c r="P60" s="1165"/>
      <c r="Q60" s="1165"/>
      <c r="R60" s="1165"/>
      <c r="S60" s="1165"/>
      <c r="T60" s="1165"/>
      <c r="U60" s="1165"/>
      <c r="V60" s="1165"/>
      <c r="W60" s="1165"/>
    </row>
    <row r="61" spans="1:43" ht="17.25" hidden="1" customHeight="1">
      <c r="E61" s="1163" t="s">
        <v>214</v>
      </c>
      <c r="F61" s="1163"/>
      <c r="G61" s="1164"/>
      <c r="H61" s="1164"/>
      <c r="I61" s="1164"/>
      <c r="J61" s="1164"/>
      <c r="K61" s="1164"/>
      <c r="L61" s="1164"/>
      <c r="M61" s="1164"/>
      <c r="N61" s="1164"/>
      <c r="O61" s="1164"/>
      <c r="P61" s="1164"/>
      <c r="Q61" s="1164"/>
      <c r="R61" s="1164"/>
      <c r="S61" s="1164"/>
      <c r="T61" s="1164"/>
      <c r="U61" s="1164"/>
      <c r="V61" s="1164"/>
      <c r="W61" s="1164"/>
    </row>
    <row r="62" spans="1:43" ht="17.25" hidden="1" customHeight="1">
      <c r="E62" s="1163" t="s">
        <v>215</v>
      </c>
      <c r="F62" s="1163"/>
      <c r="G62" s="1164"/>
      <c r="H62" s="1164"/>
      <c r="I62" s="1164"/>
      <c r="J62" s="1164"/>
      <c r="K62" s="1164"/>
      <c r="L62" s="1164"/>
      <c r="M62" s="1164"/>
      <c r="N62" s="1164"/>
      <c r="O62" s="1164"/>
      <c r="P62" s="1164"/>
      <c r="Q62" s="1164"/>
      <c r="R62" s="1164"/>
      <c r="S62" s="1164"/>
      <c r="T62" s="1164"/>
      <c r="U62" s="1164"/>
      <c r="V62" s="1164"/>
      <c r="W62" s="1164"/>
    </row>
    <row r="63" spans="1:43" s="44" customFormat="1" ht="11.25" hidden="1" customHeight="1">
      <c r="A63" s="79"/>
      <c r="B63" s="79"/>
      <c r="Y63" s="369"/>
      <c r="Z63" s="369"/>
      <c r="AA63" s="369"/>
      <c r="AB63" s="369"/>
      <c r="AC63" s="79"/>
      <c r="AD63" s="79"/>
      <c r="AE63" s="79"/>
      <c r="AF63" s="79"/>
      <c r="AG63" s="79"/>
      <c r="AH63" s="79"/>
      <c r="AI63" s="79"/>
      <c r="AJ63" s="79"/>
      <c r="AK63" s="79"/>
      <c r="AL63" s="79"/>
      <c r="AM63" s="79"/>
      <c r="AN63" s="79"/>
      <c r="AO63" s="79"/>
      <c r="AP63" s="79"/>
      <c r="AQ63" s="79"/>
    </row>
    <row r="64" spans="1:43" s="44" customFormat="1" ht="17.25" hidden="1" customHeight="1">
      <c r="A64" s="78"/>
      <c r="C64" s="86"/>
      <c r="D64" s="1143">
        <v>1</v>
      </c>
      <c r="E64" s="1145" t="s">
        <v>216</v>
      </c>
      <c r="F64" s="1147" t="s">
        <v>57</v>
      </c>
      <c r="G64" s="1150"/>
      <c r="H64" s="1152"/>
      <c r="I64" s="1154"/>
      <c r="J64" s="1156"/>
      <c r="K64" s="1141"/>
      <c r="L64" s="1141"/>
      <c r="M64" s="1141"/>
      <c r="N64" s="1159"/>
      <c r="O64" s="1141"/>
      <c r="P64" s="1141"/>
      <c r="Q64" s="1141"/>
      <c r="R64" s="1162"/>
      <c r="S64" s="1141"/>
      <c r="T64" s="800"/>
      <c r="U64" s="800"/>
      <c r="V64" s="801"/>
      <c r="W64" s="802"/>
      <c r="Y64" s="785"/>
      <c r="Z64" s="785"/>
      <c r="AA64" s="785"/>
      <c r="AB64" s="785"/>
      <c r="AC64" s="150" t="s">
        <v>217</v>
      </c>
      <c r="AD64" s="150" t="s">
        <v>218</v>
      </c>
      <c r="AE64" s="150" t="s">
        <v>219</v>
      </c>
      <c r="AF64" s="150" t="s">
        <v>220</v>
      </c>
      <c r="AG64" s="150"/>
      <c r="AH64" s="150" t="str">
        <f>IF($E$64=0,"",$E$64)</f>
        <v>Тариф на питьевую воду (питьевое водоснабжение)</v>
      </c>
      <c r="AI64" s="150" t="str">
        <f>IF($G$64=0,"",$G$64)</f>
        <v/>
      </c>
      <c r="AJ64" s="150" t="str">
        <f>IF($J$64=0,"",$J$64)</f>
        <v/>
      </c>
      <c r="AK64" s="150" t="str">
        <f>IF($K$64="нет","без дифференциации",IF($N$64=0,"",$N$64))</f>
        <v/>
      </c>
      <c r="AL64" s="150" t="str">
        <f>IF($O$64="нет","без дифференциации",IF($R$64=0,"",$R$64))</f>
        <v/>
      </c>
      <c r="AM64" s="150" t="str">
        <f>IF($S$64="нет","без дифференциации",IF($V$64=0,"",$V$64))</f>
        <v/>
      </c>
      <c r="AN64" s="150">
        <f>$I$64</f>
        <v>0</v>
      </c>
      <c r="AO64" s="150" t="str">
        <f>$I$64&amp;"."&amp;$M$64</f>
        <v>.</v>
      </c>
      <c r="AP64" s="150" t="str">
        <f>$I$64&amp;"."&amp;$M$64&amp;"."&amp;$Q$64</f>
        <v>..</v>
      </c>
      <c r="AQ64" s="150" t="str">
        <f>$I$64&amp;"."&amp;$M$64&amp;"."&amp;$Q$64&amp;"."&amp;$U$64</f>
        <v>...</v>
      </c>
    </row>
    <row r="65" spans="1:43" s="44" customFormat="1" ht="17.25" hidden="1" customHeight="1">
      <c r="A65" s="78"/>
      <c r="D65" s="1143"/>
      <c r="E65" s="1145"/>
      <c r="F65" s="1148"/>
      <c r="G65" s="1150"/>
      <c r="H65" s="1153"/>
      <c r="I65" s="1155"/>
      <c r="J65" s="1157"/>
      <c r="K65" s="1142"/>
      <c r="L65" s="1142"/>
      <c r="M65" s="1142"/>
      <c r="N65" s="1160"/>
      <c r="O65" s="1142"/>
      <c r="P65" s="1142"/>
      <c r="Q65" s="1142"/>
      <c r="R65" s="1161"/>
      <c r="S65" s="1142"/>
      <c r="T65" s="803"/>
      <c r="U65" s="803"/>
      <c r="V65" s="803"/>
      <c r="W65" s="804"/>
      <c r="Y65" s="369"/>
      <c r="Z65" s="369"/>
      <c r="AA65" s="369"/>
      <c r="AB65" s="369"/>
      <c r="AC65" s="79"/>
      <c r="AD65" s="79"/>
      <c r="AE65" s="79"/>
      <c r="AF65" s="79"/>
      <c r="AG65" s="79"/>
      <c r="AH65" s="79"/>
      <c r="AI65" s="79"/>
      <c r="AJ65" s="79"/>
      <c r="AK65" s="79"/>
      <c r="AL65" s="79"/>
      <c r="AM65" s="79"/>
      <c r="AN65" s="79"/>
      <c r="AO65" s="79"/>
      <c r="AP65" s="79"/>
      <c r="AQ65" s="79"/>
    </row>
    <row r="66" spans="1:43" s="44" customFormat="1" ht="17.25" hidden="1" customHeight="1">
      <c r="A66" s="78"/>
      <c r="C66" s="86"/>
      <c r="D66" s="1143"/>
      <c r="E66" s="1145"/>
      <c r="F66" s="1148"/>
      <c r="G66" s="1150"/>
      <c r="H66" s="1153"/>
      <c r="I66" s="1155"/>
      <c r="J66" s="1158"/>
      <c r="K66" s="1142"/>
      <c r="L66" s="1142"/>
      <c r="M66" s="1142"/>
      <c r="N66" s="1161"/>
      <c r="O66" s="1142"/>
      <c r="P66" s="214"/>
      <c r="Q66" s="803"/>
      <c r="R66" s="803"/>
      <c r="W66" s="804"/>
      <c r="Y66" s="785"/>
      <c r="Z66" s="785"/>
      <c r="AA66" s="785"/>
      <c r="AB66" s="785"/>
      <c r="AC66" s="150"/>
      <c r="AD66" s="150"/>
      <c r="AE66" s="150"/>
      <c r="AF66" s="150"/>
      <c r="AG66" s="150"/>
      <c r="AH66" s="150"/>
      <c r="AI66" s="150"/>
      <c r="AJ66" s="150"/>
      <c r="AK66" s="150"/>
      <c r="AL66" s="150"/>
      <c r="AM66" s="150"/>
      <c r="AN66" s="150"/>
      <c r="AO66" s="150"/>
      <c r="AP66" s="150"/>
      <c r="AQ66" s="150"/>
    </row>
    <row r="67" spans="1:43" s="44" customFormat="1" ht="17.25" hidden="1" customHeight="1">
      <c r="A67" s="78"/>
      <c r="D67" s="1143"/>
      <c r="E67" s="1145"/>
      <c r="F67" s="1148"/>
      <c r="G67" s="1150"/>
      <c r="H67" s="1153"/>
      <c r="I67" s="1155"/>
      <c r="J67" s="1158"/>
      <c r="K67" s="1142"/>
      <c r="L67" s="803"/>
      <c r="M67" s="803"/>
      <c r="N67" s="803"/>
      <c r="O67" s="803"/>
      <c r="P67" s="803"/>
      <c r="Q67" s="803"/>
      <c r="R67" s="803"/>
      <c r="W67" s="804"/>
      <c r="Y67" s="369"/>
      <c r="Z67" s="369"/>
      <c r="AA67" s="369"/>
      <c r="AB67" s="369"/>
      <c r="AC67" s="79"/>
      <c r="AD67" s="79"/>
      <c r="AE67" s="79"/>
      <c r="AF67" s="79"/>
      <c r="AG67" s="79"/>
      <c r="AH67" s="79"/>
      <c r="AI67" s="79"/>
      <c r="AJ67" s="79"/>
      <c r="AK67" s="79"/>
      <c r="AL67" s="79"/>
      <c r="AM67" s="79"/>
      <c r="AN67" s="79"/>
      <c r="AO67" s="79"/>
      <c r="AP67" s="79"/>
      <c r="AQ67" s="79"/>
    </row>
    <row r="68" spans="1:43" s="44" customFormat="1" ht="17.25" hidden="1" customHeight="1">
      <c r="A68" s="78"/>
      <c r="D68" s="1144"/>
      <c r="E68" s="1146"/>
      <c r="F68" s="1149"/>
      <c r="G68" s="1151"/>
      <c r="H68" s="805"/>
      <c r="I68" s="806"/>
      <c r="J68" s="806"/>
      <c r="K68" s="806"/>
      <c r="L68" s="806"/>
      <c r="M68" s="806"/>
      <c r="N68" s="806"/>
      <c r="O68" s="806"/>
      <c r="P68" s="806"/>
      <c r="Q68" s="806"/>
      <c r="R68" s="806"/>
      <c r="S68" s="807"/>
      <c r="T68" s="807"/>
      <c r="U68" s="807"/>
      <c r="V68" s="807"/>
      <c r="W68" s="808"/>
      <c r="Y68" s="369"/>
      <c r="Z68" s="369"/>
      <c r="AA68" s="369"/>
      <c r="AB68" s="369"/>
      <c r="AC68" s="79"/>
      <c r="AD68" s="79"/>
      <c r="AE68" s="79"/>
      <c r="AF68" s="79"/>
      <c r="AG68" s="79"/>
      <c r="AH68" s="79"/>
      <c r="AI68" s="79"/>
      <c r="AJ68" s="79"/>
      <c r="AK68" s="79"/>
      <c r="AL68" s="79"/>
      <c r="AM68" s="79"/>
      <c r="AN68" s="79"/>
      <c r="AO68" s="79"/>
      <c r="AP68" s="79"/>
      <c r="AQ68" s="79"/>
    </row>
    <row r="69" spans="1:43" s="44" customFormat="1" ht="17.25" hidden="1" customHeight="1">
      <c r="A69" s="78"/>
      <c r="C69" s="86"/>
      <c r="D69" s="1143">
        <v>2</v>
      </c>
      <c r="E69" s="1145" t="s">
        <v>221</v>
      </c>
      <c r="F69" s="1147" t="s">
        <v>57</v>
      </c>
      <c r="G69" s="1150"/>
      <c r="H69" s="1152"/>
      <c r="I69" s="1154"/>
      <c r="J69" s="1156"/>
      <c r="K69" s="1141"/>
      <c r="L69" s="1141"/>
      <c r="M69" s="1141"/>
      <c r="N69" s="1159"/>
      <c r="O69" s="1141"/>
      <c r="P69" s="1141"/>
      <c r="Q69" s="1141"/>
      <c r="R69" s="1162"/>
      <c r="S69" s="1141"/>
      <c r="T69" s="800"/>
      <c r="U69" s="800"/>
      <c r="V69" s="801"/>
      <c r="W69" s="802"/>
      <c r="X69" s="785"/>
      <c r="Y69" s="785"/>
      <c r="Z69" s="785"/>
      <c r="AA69" s="785"/>
      <c r="AB69" s="785"/>
      <c r="AC69" s="150" t="s">
        <v>222</v>
      </c>
      <c r="AD69" s="150" t="s">
        <v>223</v>
      </c>
      <c r="AE69" s="150" t="s">
        <v>224</v>
      </c>
      <c r="AF69" s="150" t="s">
        <v>225</v>
      </c>
      <c r="AG69" s="150"/>
      <c r="AH69" s="150" t="str">
        <f>IF($E$69=0,"",$E$69)</f>
        <v>Тариф на техническую воду</v>
      </c>
      <c r="AI69" s="150" t="str">
        <f>IF($G$69=0,"",$G$69)</f>
        <v/>
      </c>
      <c r="AJ69" s="150" t="str">
        <f>IF($J$69=0,"",$J$69)</f>
        <v/>
      </c>
      <c r="AK69" s="150" t="str">
        <f>IF($K$69="нет","без дифференциации",IF($N$69=0,"",$N$69))</f>
        <v/>
      </c>
      <c r="AL69" s="150" t="str">
        <f>IF($O$69="нет","без дифференциации",IF($R$69=0,"",$R$69))</f>
        <v/>
      </c>
      <c r="AM69" s="150" t="str">
        <f>IF($S$69="нет","без дифференциации",IF($V$69=0,"",$V$69))</f>
        <v/>
      </c>
      <c r="AN69" s="818">
        <f>$I$69</f>
        <v>0</v>
      </c>
      <c r="AO69" s="150" t="str">
        <f>$I$69&amp;"."&amp;$M$69</f>
        <v>.</v>
      </c>
      <c r="AP69" s="79" t="str">
        <f>$I$69&amp;"."&amp;$M$69&amp;"."&amp;$Q$69</f>
        <v>..</v>
      </c>
      <c r="AQ69" s="79" t="str">
        <f>$I$69&amp;"."&amp;$M$69&amp;"."&amp;$Q$69&amp;"."&amp;$U$69</f>
        <v>...</v>
      </c>
    </row>
    <row r="70" spans="1:43" s="44" customFormat="1" ht="17.25" hidden="1" customHeight="1">
      <c r="A70" s="78"/>
      <c r="D70" s="1143"/>
      <c r="E70" s="1145"/>
      <c r="F70" s="1148"/>
      <c r="G70" s="1150"/>
      <c r="H70" s="1153"/>
      <c r="I70" s="1155"/>
      <c r="J70" s="1157"/>
      <c r="K70" s="1142"/>
      <c r="L70" s="1142"/>
      <c r="M70" s="1142"/>
      <c r="N70" s="1160"/>
      <c r="O70" s="1142"/>
      <c r="P70" s="1142"/>
      <c r="Q70" s="1142"/>
      <c r="R70" s="1161"/>
      <c r="S70" s="1142"/>
      <c r="T70" s="803"/>
      <c r="U70" s="803"/>
      <c r="V70" s="803"/>
      <c r="W70" s="804"/>
      <c r="X70" s="369"/>
      <c r="Y70" s="369"/>
      <c r="Z70" s="369"/>
      <c r="AA70" s="369"/>
      <c r="AB70" s="369"/>
      <c r="AC70" s="79"/>
      <c r="AD70" s="79"/>
      <c r="AE70" s="79"/>
      <c r="AF70" s="79"/>
      <c r="AG70" s="79"/>
      <c r="AH70" s="79"/>
      <c r="AI70" s="79"/>
      <c r="AJ70" s="79"/>
      <c r="AK70" s="79"/>
      <c r="AL70" s="79"/>
      <c r="AM70" s="79"/>
      <c r="AN70" s="79"/>
      <c r="AO70" s="79"/>
      <c r="AP70" s="79"/>
      <c r="AQ70" s="79"/>
    </row>
    <row r="71" spans="1:43" s="44" customFormat="1" ht="17.25" hidden="1" customHeight="1">
      <c r="A71" s="78"/>
      <c r="D71" s="1144"/>
      <c r="E71" s="1146"/>
      <c r="F71" s="1148"/>
      <c r="G71" s="1151"/>
      <c r="H71" s="1153"/>
      <c r="I71" s="1155"/>
      <c r="J71" s="1158"/>
      <c r="K71" s="1142"/>
      <c r="L71" s="1142"/>
      <c r="M71" s="1142"/>
      <c r="N71" s="1161"/>
      <c r="O71" s="1142"/>
      <c r="P71" s="214"/>
      <c r="Q71" s="803"/>
      <c r="R71" s="803"/>
      <c r="W71" s="804"/>
      <c r="X71" s="369"/>
      <c r="Y71" s="369"/>
      <c r="Z71" s="369"/>
      <c r="AA71" s="369"/>
      <c r="AB71" s="369"/>
      <c r="AC71" s="79"/>
      <c r="AD71" s="79"/>
      <c r="AE71" s="79"/>
      <c r="AF71" s="79"/>
      <c r="AG71" s="79"/>
      <c r="AH71" s="79"/>
      <c r="AI71" s="79"/>
      <c r="AJ71" s="79"/>
      <c r="AK71" s="79"/>
      <c r="AL71" s="79"/>
      <c r="AM71" s="79"/>
      <c r="AN71" s="79"/>
      <c r="AO71" s="79"/>
      <c r="AP71" s="79"/>
      <c r="AQ71" s="79"/>
    </row>
    <row r="72" spans="1:43" s="44" customFormat="1" ht="17.25" hidden="1" customHeight="1">
      <c r="A72" s="78"/>
      <c r="D72" s="1144"/>
      <c r="E72" s="1146"/>
      <c r="F72" s="1148"/>
      <c r="G72" s="1151"/>
      <c r="H72" s="1153"/>
      <c r="I72" s="1155"/>
      <c r="J72" s="1158"/>
      <c r="K72" s="1142"/>
      <c r="L72" s="803"/>
      <c r="M72" s="803"/>
      <c r="N72" s="803"/>
      <c r="O72" s="803"/>
      <c r="P72" s="803"/>
      <c r="Q72" s="803"/>
      <c r="R72" s="803"/>
      <c r="W72" s="804"/>
      <c r="X72" s="369"/>
      <c r="Y72" s="369"/>
      <c r="Z72" s="369"/>
      <c r="AA72" s="369"/>
      <c r="AB72" s="369"/>
      <c r="AC72" s="79"/>
      <c r="AD72" s="79"/>
      <c r="AE72" s="79"/>
      <c r="AF72" s="79"/>
      <c r="AG72" s="79"/>
      <c r="AH72" s="79"/>
      <c r="AI72" s="79"/>
      <c r="AJ72" s="79"/>
      <c r="AK72" s="79"/>
      <c r="AL72" s="79"/>
      <c r="AM72" s="79"/>
      <c r="AN72" s="79"/>
      <c r="AO72" s="79"/>
      <c r="AP72" s="79"/>
      <c r="AQ72" s="79"/>
    </row>
    <row r="73" spans="1:43" s="44" customFormat="1" ht="17.25" hidden="1" customHeight="1">
      <c r="A73" s="78"/>
      <c r="D73" s="1144"/>
      <c r="E73" s="1146"/>
      <c r="F73" s="1149"/>
      <c r="G73" s="1151"/>
      <c r="H73" s="805"/>
      <c r="I73" s="806"/>
      <c r="J73" s="806"/>
      <c r="K73" s="806"/>
      <c r="L73" s="806"/>
      <c r="M73" s="806"/>
      <c r="N73" s="806"/>
      <c r="O73" s="806"/>
      <c r="P73" s="806"/>
      <c r="Q73" s="806"/>
      <c r="R73" s="806"/>
      <c r="S73" s="807"/>
      <c r="T73" s="807"/>
      <c r="U73" s="807"/>
      <c r="V73" s="807"/>
      <c r="W73" s="808"/>
      <c r="X73" s="369"/>
      <c r="Y73" s="369"/>
      <c r="Z73" s="369"/>
      <c r="AA73" s="369"/>
      <c r="AB73" s="369"/>
      <c r="AC73" s="79"/>
      <c r="AD73" s="79"/>
      <c r="AE73" s="79"/>
      <c r="AF73" s="79"/>
      <c r="AG73" s="79"/>
      <c r="AH73" s="79"/>
      <c r="AI73" s="79"/>
      <c r="AJ73" s="79"/>
      <c r="AK73" s="79"/>
      <c r="AL73" s="79"/>
      <c r="AM73" s="79"/>
      <c r="AN73" s="79"/>
      <c r="AO73" s="79"/>
      <c r="AP73" s="79"/>
      <c r="AQ73" s="79"/>
    </row>
    <row r="74" spans="1:43" s="44" customFormat="1" ht="17.25" hidden="1" customHeight="1">
      <c r="A74" s="78"/>
      <c r="C74" s="86"/>
      <c r="D74" s="1143">
        <v>3</v>
      </c>
      <c r="E74" s="1145" t="s">
        <v>226</v>
      </c>
      <c r="F74" s="1147" t="s">
        <v>57</v>
      </c>
      <c r="G74" s="1150"/>
      <c r="H74" s="1152"/>
      <c r="I74" s="1154"/>
      <c r="J74" s="1156"/>
      <c r="K74" s="1141"/>
      <c r="L74" s="1141"/>
      <c r="M74" s="1141"/>
      <c r="N74" s="1159"/>
      <c r="O74" s="1141"/>
      <c r="P74" s="1141"/>
      <c r="Q74" s="1141"/>
      <c r="R74" s="1162"/>
      <c r="S74" s="1141"/>
      <c r="T74" s="800"/>
      <c r="U74" s="800"/>
      <c r="V74" s="801"/>
      <c r="W74" s="802"/>
      <c r="X74" s="785"/>
      <c r="Y74" s="785"/>
      <c r="Z74" s="785"/>
      <c r="AA74" s="785"/>
      <c r="AB74" s="785"/>
      <c r="AC74" s="150" t="s">
        <v>227</v>
      </c>
      <c r="AD74" s="150" t="s">
        <v>228</v>
      </c>
      <c r="AE74" s="150" t="s">
        <v>229</v>
      </c>
      <c r="AF74" s="150" t="s">
        <v>230</v>
      </c>
      <c r="AG74" s="150"/>
      <c r="AH74" s="150" t="str">
        <f>IF($E$74=0,"",$E$74)</f>
        <v>Тариф на транспортировку воды</v>
      </c>
      <c r="AI74" s="150" t="str">
        <f>IF($G$74=0,"",$G$74)</f>
        <v/>
      </c>
      <c r="AJ74" s="150" t="str">
        <f>IF($J$74=0,"",$J$74)</f>
        <v/>
      </c>
      <c r="AK74" s="150" t="str">
        <f>IF($K$74="нет","без дифференциации",IF($N$74=0,"",$N$74))</f>
        <v/>
      </c>
      <c r="AL74" s="150" t="str">
        <f>IF($O$74="нет","без дифференциации",IF($R$74=0,"",$R$74))</f>
        <v/>
      </c>
      <c r="AM74" s="150" t="str">
        <f>IF($S$74="нет","без дифференциации",IF($V$74=0,"",$V$74))</f>
        <v/>
      </c>
      <c r="AN74" s="818">
        <f>$I$74</f>
        <v>0</v>
      </c>
      <c r="AO74" s="150" t="str">
        <f>$I$74&amp;"."&amp;$M$74</f>
        <v>.</v>
      </c>
      <c r="AP74" s="79" t="str">
        <f>$I$74&amp;"."&amp;$M$74&amp;"."&amp;$Q$74</f>
        <v>..</v>
      </c>
      <c r="AQ74" s="79" t="str">
        <f>$I$74&amp;"."&amp;$M$74&amp;"."&amp;$Q$74&amp;"."&amp;$U$74</f>
        <v>...</v>
      </c>
    </row>
    <row r="75" spans="1:43" s="44" customFormat="1" ht="17.25" hidden="1" customHeight="1">
      <c r="A75" s="78"/>
      <c r="D75" s="1143"/>
      <c r="E75" s="1145"/>
      <c r="F75" s="1148"/>
      <c r="G75" s="1150"/>
      <c r="H75" s="1153"/>
      <c r="I75" s="1155"/>
      <c r="J75" s="1157"/>
      <c r="K75" s="1142"/>
      <c r="L75" s="1142"/>
      <c r="M75" s="1142"/>
      <c r="N75" s="1160"/>
      <c r="O75" s="1142"/>
      <c r="P75" s="1142"/>
      <c r="Q75" s="1142"/>
      <c r="R75" s="1161"/>
      <c r="S75" s="1142"/>
      <c r="T75" s="803"/>
      <c r="U75" s="803"/>
      <c r="V75" s="803"/>
      <c r="W75" s="804"/>
      <c r="X75" s="369"/>
      <c r="Y75" s="369"/>
      <c r="Z75" s="369"/>
      <c r="AA75" s="369"/>
      <c r="AB75" s="369"/>
      <c r="AC75" s="79"/>
      <c r="AD75" s="79"/>
      <c r="AE75" s="79"/>
      <c r="AF75" s="79"/>
      <c r="AG75" s="79"/>
      <c r="AH75" s="79"/>
      <c r="AI75" s="79"/>
      <c r="AJ75" s="79"/>
      <c r="AK75" s="79"/>
      <c r="AL75" s="79"/>
      <c r="AM75" s="79"/>
      <c r="AN75" s="79"/>
      <c r="AO75" s="79"/>
      <c r="AP75" s="79"/>
      <c r="AQ75" s="79"/>
    </row>
    <row r="76" spans="1:43" s="44" customFormat="1" ht="17.25" hidden="1" customHeight="1">
      <c r="A76" s="78"/>
      <c r="D76" s="1144"/>
      <c r="E76" s="1146"/>
      <c r="F76" s="1148"/>
      <c r="G76" s="1151"/>
      <c r="H76" s="1153"/>
      <c r="I76" s="1155"/>
      <c r="J76" s="1158"/>
      <c r="K76" s="1142"/>
      <c r="L76" s="1142"/>
      <c r="M76" s="1142"/>
      <c r="N76" s="1161"/>
      <c r="O76" s="1142"/>
      <c r="P76" s="214"/>
      <c r="Q76" s="803"/>
      <c r="R76" s="803"/>
      <c r="W76" s="804"/>
      <c r="X76" s="369"/>
      <c r="Y76" s="369"/>
      <c r="Z76" s="369"/>
      <c r="AA76" s="369"/>
      <c r="AB76" s="369"/>
      <c r="AC76" s="79"/>
      <c r="AD76" s="79"/>
      <c r="AE76" s="79"/>
      <c r="AF76" s="79"/>
      <c r="AG76" s="79"/>
      <c r="AH76" s="79"/>
      <c r="AI76" s="79"/>
      <c r="AJ76" s="79"/>
      <c r="AK76" s="79"/>
      <c r="AL76" s="79"/>
      <c r="AM76" s="79"/>
      <c r="AN76" s="79"/>
      <c r="AO76" s="79"/>
      <c r="AP76" s="79"/>
      <c r="AQ76" s="79"/>
    </row>
    <row r="77" spans="1:43" s="44" customFormat="1" ht="17.25" hidden="1" customHeight="1">
      <c r="A77" s="78"/>
      <c r="D77" s="1144"/>
      <c r="E77" s="1146"/>
      <c r="F77" s="1148"/>
      <c r="G77" s="1151"/>
      <c r="H77" s="1153"/>
      <c r="I77" s="1155"/>
      <c r="J77" s="1158"/>
      <c r="K77" s="1142"/>
      <c r="L77" s="803"/>
      <c r="M77" s="803"/>
      <c r="N77" s="803"/>
      <c r="O77" s="803"/>
      <c r="P77" s="803"/>
      <c r="Q77" s="803"/>
      <c r="R77" s="803"/>
      <c r="W77" s="804"/>
      <c r="X77" s="369"/>
      <c r="Y77" s="369"/>
      <c r="Z77" s="369"/>
      <c r="AA77" s="369"/>
      <c r="AB77" s="369"/>
      <c r="AC77" s="79"/>
      <c r="AD77" s="79"/>
      <c r="AE77" s="79"/>
      <c r="AF77" s="79"/>
      <c r="AG77" s="79"/>
      <c r="AH77" s="79"/>
      <c r="AI77" s="79"/>
      <c r="AJ77" s="79"/>
      <c r="AK77" s="79"/>
      <c r="AL77" s="79"/>
      <c r="AM77" s="79"/>
      <c r="AN77" s="79"/>
      <c r="AO77" s="79"/>
      <c r="AP77" s="79"/>
      <c r="AQ77" s="79"/>
    </row>
    <row r="78" spans="1:43" s="44" customFormat="1" ht="17.25" hidden="1" customHeight="1">
      <c r="A78" s="78"/>
      <c r="D78" s="1144"/>
      <c r="E78" s="1146"/>
      <c r="F78" s="1149"/>
      <c r="G78" s="1151"/>
      <c r="H78" s="805"/>
      <c r="I78" s="806"/>
      <c r="J78" s="806"/>
      <c r="K78" s="806"/>
      <c r="L78" s="806"/>
      <c r="M78" s="806"/>
      <c r="N78" s="806"/>
      <c r="O78" s="806"/>
      <c r="P78" s="806"/>
      <c r="Q78" s="806"/>
      <c r="R78" s="806"/>
      <c r="S78" s="807"/>
      <c r="T78" s="807"/>
      <c r="U78" s="807"/>
      <c r="V78" s="807"/>
      <c r="W78" s="808"/>
      <c r="X78" s="369"/>
      <c r="Y78" s="369"/>
      <c r="Z78" s="369"/>
      <c r="AA78" s="369"/>
      <c r="AB78" s="369"/>
      <c r="AC78" s="79"/>
      <c r="AD78" s="79"/>
      <c r="AE78" s="79"/>
      <c r="AF78" s="79"/>
      <c r="AG78" s="79"/>
      <c r="AH78" s="79"/>
      <c r="AI78" s="79"/>
      <c r="AJ78" s="79"/>
      <c r="AK78" s="79"/>
      <c r="AL78" s="79"/>
      <c r="AM78" s="79"/>
      <c r="AN78" s="79"/>
      <c r="AO78" s="79"/>
      <c r="AP78" s="79"/>
      <c r="AQ78" s="79"/>
    </row>
    <row r="79" spans="1:43" s="44" customFormat="1" ht="17.25" hidden="1" customHeight="1">
      <c r="A79" s="78"/>
      <c r="C79" s="86"/>
      <c r="D79" s="1143">
        <v>4</v>
      </c>
      <c r="E79" s="1145" t="s">
        <v>231</v>
      </c>
      <c r="F79" s="1147" t="s">
        <v>57</v>
      </c>
      <c r="G79" s="1150"/>
      <c r="H79" s="1152"/>
      <c r="I79" s="1154"/>
      <c r="J79" s="1156"/>
      <c r="K79" s="1141"/>
      <c r="L79" s="1141"/>
      <c r="M79" s="1141"/>
      <c r="N79" s="1159"/>
      <c r="O79" s="1141"/>
      <c r="P79" s="1141"/>
      <c r="Q79" s="1141"/>
      <c r="R79" s="1162"/>
      <c r="S79" s="1141"/>
      <c r="T79" s="800"/>
      <c r="U79" s="800"/>
      <c r="V79" s="801"/>
      <c r="W79" s="802"/>
      <c r="X79" s="785"/>
      <c r="Y79" s="785"/>
      <c r="Z79" s="785"/>
      <c r="AA79" s="785"/>
      <c r="AB79" s="785"/>
      <c r="AC79" s="150" t="s">
        <v>232</v>
      </c>
      <c r="AD79" s="150" t="s">
        <v>233</v>
      </c>
      <c r="AE79" s="150" t="s">
        <v>234</v>
      </c>
      <c r="AF79" s="150" t="s">
        <v>235</v>
      </c>
      <c r="AG79" s="150"/>
      <c r="AH79" s="150" t="str">
        <f>IF($E$79=0,"",$E$79)</f>
        <v>Тариф на подвоз воды</v>
      </c>
      <c r="AI79" s="150" t="str">
        <f>IF($G$79=0,"",$G$79)</f>
        <v/>
      </c>
      <c r="AJ79" s="150" t="str">
        <f>IF($J$79=0,"",$J$79)</f>
        <v/>
      </c>
      <c r="AK79" s="150" t="str">
        <f>IF($K$79="нет","без дифференциации",IF($N$79=0,"",$N$79))</f>
        <v/>
      </c>
      <c r="AL79" s="150" t="str">
        <f>IF($O$79="нет","без дифференциации",IF($R$79=0,"",$R$79))</f>
        <v/>
      </c>
      <c r="AM79" s="150" t="str">
        <f>IF($S$79="нет","без дифференциации",IF($V$79=0,"",$V$79))</f>
        <v/>
      </c>
      <c r="AN79" s="818">
        <f>$I$79</f>
        <v>0</v>
      </c>
      <c r="AO79" s="150" t="str">
        <f>$I$79&amp;"."&amp;$M$79</f>
        <v>.</v>
      </c>
      <c r="AP79" s="79" t="str">
        <f>$I$79&amp;"."&amp;$M$79&amp;"."&amp;$Q$79</f>
        <v>..</v>
      </c>
      <c r="AQ79" s="79" t="str">
        <f>$I$79&amp;"."&amp;$M$79&amp;"."&amp;$Q$79&amp;"."&amp;$U$79</f>
        <v>...</v>
      </c>
    </row>
    <row r="80" spans="1:43" s="44" customFormat="1" ht="17.25" hidden="1" customHeight="1">
      <c r="A80" s="78"/>
      <c r="D80" s="1143"/>
      <c r="E80" s="1145"/>
      <c r="F80" s="1148"/>
      <c r="G80" s="1150"/>
      <c r="H80" s="1153"/>
      <c r="I80" s="1155"/>
      <c r="J80" s="1157"/>
      <c r="K80" s="1142"/>
      <c r="L80" s="1142"/>
      <c r="M80" s="1142"/>
      <c r="N80" s="1160"/>
      <c r="O80" s="1142"/>
      <c r="P80" s="1142"/>
      <c r="Q80" s="1142"/>
      <c r="R80" s="1161"/>
      <c r="S80" s="1142"/>
      <c r="T80" s="803"/>
      <c r="U80" s="803"/>
      <c r="V80" s="803"/>
      <c r="W80" s="804"/>
      <c r="X80" s="369"/>
      <c r="Y80" s="369"/>
      <c r="Z80" s="369"/>
      <c r="AA80" s="369"/>
      <c r="AB80" s="369"/>
      <c r="AC80" s="79"/>
      <c r="AD80" s="79"/>
      <c r="AE80" s="79"/>
      <c r="AF80" s="79"/>
      <c r="AG80" s="79"/>
      <c r="AH80" s="79"/>
      <c r="AI80" s="79"/>
      <c r="AJ80" s="79"/>
      <c r="AK80" s="79"/>
      <c r="AL80" s="79"/>
      <c r="AM80" s="79"/>
      <c r="AN80" s="79"/>
      <c r="AO80" s="79"/>
      <c r="AP80" s="79"/>
      <c r="AQ80" s="79"/>
    </row>
    <row r="81" spans="1:43" s="44" customFormat="1" ht="17.25" hidden="1" customHeight="1">
      <c r="A81" s="78"/>
      <c r="D81" s="1144"/>
      <c r="E81" s="1146"/>
      <c r="F81" s="1148"/>
      <c r="G81" s="1151"/>
      <c r="H81" s="1153"/>
      <c r="I81" s="1155"/>
      <c r="J81" s="1158"/>
      <c r="K81" s="1142"/>
      <c r="L81" s="1142"/>
      <c r="M81" s="1142"/>
      <c r="N81" s="1161"/>
      <c r="O81" s="1142"/>
      <c r="P81" s="214"/>
      <c r="Q81" s="803"/>
      <c r="R81" s="803"/>
      <c r="W81" s="804"/>
      <c r="X81" s="369"/>
      <c r="Y81" s="369"/>
      <c r="Z81" s="369"/>
      <c r="AA81" s="369"/>
      <c r="AB81" s="369"/>
      <c r="AC81" s="79"/>
      <c r="AD81" s="79"/>
      <c r="AE81" s="79"/>
      <c r="AF81" s="79"/>
      <c r="AG81" s="79"/>
      <c r="AH81" s="79"/>
      <c r="AI81" s="79"/>
      <c r="AJ81" s="79"/>
      <c r="AK81" s="79"/>
      <c r="AL81" s="79"/>
      <c r="AM81" s="79"/>
      <c r="AN81" s="79"/>
      <c r="AO81" s="79"/>
      <c r="AP81" s="79"/>
      <c r="AQ81" s="79"/>
    </row>
    <row r="82" spans="1:43" s="44" customFormat="1" ht="17.25" hidden="1" customHeight="1">
      <c r="A82" s="78"/>
      <c r="D82" s="1144"/>
      <c r="E82" s="1146"/>
      <c r="F82" s="1148"/>
      <c r="G82" s="1151"/>
      <c r="H82" s="1153"/>
      <c r="I82" s="1155"/>
      <c r="J82" s="1158"/>
      <c r="K82" s="1142"/>
      <c r="L82" s="803"/>
      <c r="M82" s="803"/>
      <c r="N82" s="803"/>
      <c r="O82" s="803"/>
      <c r="P82" s="803"/>
      <c r="Q82" s="803"/>
      <c r="R82" s="803"/>
      <c r="W82" s="804"/>
      <c r="X82" s="369"/>
      <c r="Y82" s="369"/>
      <c r="Z82" s="369"/>
      <c r="AA82" s="369"/>
      <c r="AB82" s="369"/>
      <c r="AC82" s="79"/>
      <c r="AD82" s="79"/>
      <c r="AE82" s="79"/>
      <c r="AF82" s="79"/>
      <c r="AG82" s="79"/>
      <c r="AH82" s="79"/>
      <c r="AI82" s="79"/>
      <c r="AJ82" s="79"/>
      <c r="AK82" s="79"/>
      <c r="AL82" s="79"/>
      <c r="AM82" s="79"/>
      <c r="AN82" s="79"/>
      <c r="AO82" s="79"/>
      <c r="AP82" s="79"/>
      <c r="AQ82" s="79"/>
    </row>
    <row r="83" spans="1:43" s="44" customFormat="1" ht="17.25" hidden="1" customHeight="1">
      <c r="A83" s="78"/>
      <c r="D83" s="1144"/>
      <c r="E83" s="1146"/>
      <c r="F83" s="1149"/>
      <c r="G83" s="1151"/>
      <c r="H83" s="805"/>
      <c r="I83" s="806"/>
      <c r="J83" s="806"/>
      <c r="K83" s="806"/>
      <c r="L83" s="806"/>
      <c r="M83" s="806"/>
      <c r="N83" s="806"/>
      <c r="O83" s="806"/>
      <c r="P83" s="806"/>
      <c r="Q83" s="806"/>
      <c r="R83" s="806"/>
      <c r="S83" s="807"/>
      <c r="T83" s="807"/>
      <c r="U83" s="807"/>
      <c r="V83" s="807"/>
      <c r="W83" s="808"/>
      <c r="X83" s="369"/>
      <c r="Y83" s="369"/>
      <c r="Z83" s="369"/>
      <c r="AA83" s="369"/>
      <c r="AB83" s="369"/>
      <c r="AC83" s="79"/>
      <c r="AD83" s="79"/>
      <c r="AE83" s="79"/>
      <c r="AF83" s="79"/>
      <c r="AG83" s="79"/>
      <c r="AH83" s="79"/>
      <c r="AI83" s="79"/>
      <c r="AJ83" s="79"/>
      <c r="AK83" s="79"/>
      <c r="AL83" s="79"/>
      <c r="AM83" s="79"/>
      <c r="AN83" s="79"/>
      <c r="AO83" s="79"/>
      <c r="AP83" s="79"/>
      <c r="AQ83" s="79"/>
    </row>
    <row r="84" spans="1:43" s="44" customFormat="1" ht="17.25" hidden="1" customHeight="1">
      <c r="A84" s="78"/>
      <c r="C84" s="86"/>
      <c r="D84" s="1143">
        <v>5</v>
      </c>
      <c r="E84" s="1145" t="s">
        <v>236</v>
      </c>
      <c r="F84" s="1147" t="s">
        <v>57</v>
      </c>
      <c r="G84" s="1150"/>
      <c r="H84" s="1152"/>
      <c r="I84" s="1154"/>
      <c r="J84" s="1156"/>
      <c r="K84" s="1141"/>
      <c r="L84" s="1141"/>
      <c r="M84" s="1141"/>
      <c r="N84" s="1159"/>
      <c r="O84" s="1141"/>
      <c r="P84" s="1141"/>
      <c r="Q84" s="1141"/>
      <c r="R84" s="1162"/>
      <c r="S84" s="1141"/>
      <c r="T84" s="800"/>
      <c r="U84" s="800"/>
      <c r="V84" s="801"/>
      <c r="W84" s="802"/>
      <c r="X84" s="785"/>
      <c r="Y84" s="785"/>
      <c r="Z84" s="785"/>
      <c r="AA84" s="785"/>
      <c r="AB84" s="785"/>
      <c r="AC84" s="150" t="s">
        <v>237</v>
      </c>
      <c r="AD84" s="150" t="s">
        <v>238</v>
      </c>
      <c r="AE84" s="150" t="s">
        <v>239</v>
      </c>
      <c r="AF84" s="150" t="s">
        <v>240</v>
      </c>
      <c r="AG84" s="150"/>
      <c r="AH84" s="150" t="str">
        <f>IF($E$84=0,"",$E$84)</f>
        <v>Тариф на подключение (технологическое присоединение) к централизованной системе холодного водоснабжения</v>
      </c>
      <c r="AI84" s="150" t="str">
        <f>IF($G$84=0,"",$G$84)</f>
        <v/>
      </c>
      <c r="AJ84" s="150" t="str">
        <f>IF($J$84=0,"",$J$84)</f>
        <v/>
      </c>
      <c r="AK84" s="150" t="str">
        <f>IF($K$84="нет","без дифференциации",IF($N$84=0,"",$N$84))</f>
        <v/>
      </c>
      <c r="AL84" s="150" t="str">
        <f>IF($O$84="нет","без дифференциации",IF($R$84=0,"",$R$84))</f>
        <v/>
      </c>
      <c r="AM84" s="150" t="str">
        <f>IF($S$84="нет","без дифференциации",IF($V$84=0,"",$V$84))</f>
        <v/>
      </c>
      <c r="AN84" s="818">
        <f>$I$84</f>
        <v>0</v>
      </c>
      <c r="AO84" s="150" t="str">
        <f>$I$84&amp;"."&amp;$M$84</f>
        <v>.</v>
      </c>
      <c r="AP84" s="79" t="str">
        <f>$I$84&amp;"."&amp;$M$84&amp;"."&amp;$Q$84</f>
        <v>..</v>
      </c>
      <c r="AQ84" s="79" t="str">
        <f>$I$84&amp;"."&amp;$M$84&amp;"."&amp;$Q$84&amp;"."&amp;$U$84</f>
        <v>...</v>
      </c>
    </row>
    <row r="85" spans="1:43" s="44" customFormat="1" ht="17.25" hidden="1" customHeight="1">
      <c r="A85" s="78"/>
      <c r="D85" s="1143"/>
      <c r="E85" s="1145"/>
      <c r="F85" s="1148"/>
      <c r="G85" s="1150"/>
      <c r="H85" s="1153"/>
      <c r="I85" s="1155"/>
      <c r="J85" s="1157"/>
      <c r="K85" s="1142"/>
      <c r="L85" s="1142"/>
      <c r="M85" s="1142"/>
      <c r="N85" s="1160"/>
      <c r="O85" s="1142"/>
      <c r="P85" s="1142"/>
      <c r="Q85" s="1142"/>
      <c r="R85" s="1161"/>
      <c r="S85" s="1142"/>
      <c r="T85" s="803"/>
      <c r="U85" s="803"/>
      <c r="V85" s="803"/>
      <c r="W85" s="804"/>
      <c r="X85" s="369"/>
      <c r="Y85" s="369"/>
      <c r="Z85" s="369"/>
      <c r="AA85" s="369"/>
      <c r="AB85" s="369"/>
      <c r="AC85" s="79"/>
      <c r="AD85" s="79"/>
      <c r="AE85" s="79"/>
      <c r="AF85" s="79"/>
      <c r="AG85" s="79"/>
      <c r="AH85" s="79"/>
      <c r="AI85" s="79"/>
      <c r="AJ85" s="79"/>
      <c r="AK85" s="79"/>
      <c r="AL85" s="79"/>
      <c r="AM85" s="79"/>
      <c r="AN85" s="79"/>
      <c r="AO85" s="79"/>
      <c r="AP85" s="79"/>
      <c r="AQ85" s="79"/>
    </row>
    <row r="86" spans="1:43" s="44" customFormat="1" ht="17.25" hidden="1" customHeight="1">
      <c r="A86" s="78"/>
      <c r="D86" s="1144"/>
      <c r="E86" s="1146"/>
      <c r="F86" s="1148"/>
      <c r="G86" s="1151"/>
      <c r="H86" s="1153"/>
      <c r="I86" s="1155"/>
      <c r="J86" s="1158"/>
      <c r="K86" s="1142"/>
      <c r="L86" s="1142"/>
      <c r="M86" s="1142"/>
      <c r="N86" s="1161"/>
      <c r="O86" s="1142"/>
      <c r="P86" s="214"/>
      <c r="Q86" s="803"/>
      <c r="R86" s="803"/>
      <c r="W86" s="804"/>
      <c r="X86" s="369"/>
      <c r="Y86" s="369"/>
      <c r="Z86" s="369"/>
      <c r="AA86" s="369"/>
      <c r="AB86" s="369"/>
      <c r="AC86" s="79"/>
      <c r="AD86" s="79"/>
      <c r="AE86" s="79"/>
      <c r="AF86" s="79"/>
      <c r="AG86" s="79"/>
      <c r="AH86" s="79"/>
      <c r="AI86" s="79"/>
      <c r="AJ86" s="79"/>
      <c r="AK86" s="79"/>
      <c r="AL86" s="79"/>
      <c r="AM86" s="79"/>
      <c r="AN86" s="79"/>
      <c r="AO86" s="79"/>
      <c r="AP86" s="79"/>
      <c r="AQ86" s="79"/>
    </row>
    <row r="87" spans="1:43" s="44" customFormat="1" ht="17.25" hidden="1" customHeight="1">
      <c r="A87" s="78"/>
      <c r="D87" s="1144"/>
      <c r="E87" s="1146"/>
      <c r="F87" s="1148"/>
      <c r="G87" s="1151"/>
      <c r="H87" s="1153"/>
      <c r="I87" s="1155"/>
      <c r="J87" s="1158"/>
      <c r="K87" s="1142"/>
      <c r="L87" s="803"/>
      <c r="M87" s="803"/>
      <c r="N87" s="803"/>
      <c r="O87" s="803"/>
      <c r="P87" s="803"/>
      <c r="Q87" s="803"/>
      <c r="R87" s="803"/>
      <c r="W87" s="804"/>
      <c r="X87" s="369"/>
      <c r="Y87" s="369"/>
      <c r="Z87" s="369"/>
      <c r="AA87" s="369"/>
      <c r="AB87" s="369"/>
      <c r="AC87" s="79"/>
      <c r="AD87" s="79"/>
      <c r="AE87" s="79"/>
      <c r="AF87" s="79"/>
      <c r="AG87" s="79"/>
      <c r="AH87" s="79"/>
      <c r="AI87" s="79"/>
      <c r="AJ87" s="79"/>
      <c r="AK87" s="79"/>
      <c r="AL87" s="79"/>
      <c r="AM87" s="79"/>
      <c r="AN87" s="79"/>
      <c r="AO87" s="79"/>
      <c r="AP87" s="79"/>
      <c r="AQ87" s="79"/>
    </row>
    <row r="88" spans="1:43" s="44" customFormat="1" ht="17.25" hidden="1" customHeight="1">
      <c r="A88" s="78"/>
      <c r="D88" s="1144"/>
      <c r="E88" s="1146"/>
      <c r="F88" s="1149"/>
      <c r="G88" s="1151"/>
      <c r="H88" s="805"/>
      <c r="I88" s="806"/>
      <c r="J88" s="806"/>
      <c r="K88" s="806"/>
      <c r="L88" s="806"/>
      <c r="M88" s="806"/>
      <c r="N88" s="806"/>
      <c r="O88" s="806"/>
      <c r="P88" s="806"/>
      <c r="Q88" s="806"/>
      <c r="R88" s="806"/>
      <c r="S88" s="807"/>
      <c r="T88" s="807"/>
      <c r="U88" s="807"/>
      <c r="V88" s="807"/>
      <c r="W88" s="808"/>
      <c r="X88" s="369"/>
      <c r="Y88" s="369"/>
      <c r="Z88" s="369"/>
      <c r="AA88" s="369"/>
      <c r="AB88" s="369"/>
      <c r="AC88" s="79"/>
      <c r="AD88" s="79"/>
      <c r="AE88" s="79"/>
      <c r="AF88" s="79"/>
      <c r="AG88" s="79"/>
      <c r="AH88" s="79"/>
      <c r="AI88" s="79"/>
      <c r="AJ88" s="79"/>
      <c r="AK88" s="79"/>
      <c r="AL88" s="79"/>
      <c r="AM88" s="79"/>
      <c r="AN88" s="79"/>
      <c r="AO88" s="79"/>
      <c r="AP88" s="79"/>
      <c r="AQ88" s="79"/>
    </row>
    <row r="89" spans="1:43" s="44" customFormat="1" ht="11.25" hidden="1" customHeight="1">
      <c r="A89" s="79"/>
      <c r="B89" s="79"/>
      <c r="Y89" s="369"/>
      <c r="Z89" s="369"/>
      <c r="AA89" s="369"/>
      <c r="AB89" s="369"/>
      <c r="AC89" s="79"/>
      <c r="AD89" s="79"/>
      <c r="AE89" s="79"/>
      <c r="AF89" s="79"/>
      <c r="AG89" s="79"/>
      <c r="AH89" s="79"/>
      <c r="AI89" s="79"/>
      <c r="AJ89" s="79"/>
      <c r="AK89" s="79"/>
      <c r="AL89" s="79"/>
      <c r="AM89" s="79"/>
      <c r="AN89" s="79"/>
      <c r="AO89" s="79"/>
      <c r="AP89" s="79"/>
      <c r="AQ89" s="79"/>
    </row>
    <row r="90" spans="1:43" s="44" customFormat="1" ht="17.25" hidden="1" customHeight="1">
      <c r="A90" s="78"/>
      <c r="C90" s="86"/>
      <c r="D90" s="1143">
        <v>1</v>
      </c>
      <c r="E90" s="1145" t="s">
        <v>241</v>
      </c>
      <c r="F90" s="1147" t="s">
        <v>57</v>
      </c>
      <c r="G90" s="1150"/>
      <c r="H90" s="1152"/>
      <c r="I90" s="1154"/>
      <c r="J90" s="1156"/>
      <c r="K90" s="1141"/>
      <c r="L90" s="1141"/>
      <c r="M90" s="1141"/>
      <c r="N90" s="1159"/>
      <c r="O90" s="1141"/>
      <c r="P90" s="1141"/>
      <c r="Q90" s="1141"/>
      <c r="R90" s="1162"/>
      <c r="S90" s="1141"/>
      <c r="T90" s="800"/>
      <c r="U90" s="800"/>
      <c r="V90" s="801"/>
      <c r="W90" s="802"/>
      <c r="Y90" s="785"/>
      <c r="Z90" s="785"/>
      <c r="AA90" s="785"/>
      <c r="AB90" s="785"/>
      <c r="AC90" s="150" t="s">
        <v>242</v>
      </c>
      <c r="AD90" s="150" t="s">
        <v>243</v>
      </c>
      <c r="AE90" s="150" t="s">
        <v>244</v>
      </c>
      <c r="AF90" s="150" t="s">
        <v>245</v>
      </c>
      <c r="AG90" s="150"/>
      <c r="AH90" s="150" t="str">
        <f>IF($E$90=0,"",$E$90)</f>
        <v>Тариф на горячую воду (горячее водоснабжение)</v>
      </c>
      <c r="AI90" s="150" t="str">
        <f>IF($G$90=0,"",$G$90)</f>
        <v/>
      </c>
      <c r="AJ90" s="150" t="str">
        <f>IF($J$90=0,"",$J$90)</f>
        <v/>
      </c>
      <c r="AK90" s="150" t="str">
        <f>IF($K$90="нет","без дифференциации",IF($N$90=0,"",$N$90))</f>
        <v/>
      </c>
      <c r="AL90" s="150" t="str">
        <f>IF($O$90="нет","без дифференциации",IF($R$90=0,"",$R$90))</f>
        <v/>
      </c>
      <c r="AM90" s="150" t="str">
        <f>IF($S$90="нет","без дифференциации",IF($V$90=0,"",$V$90))</f>
        <v/>
      </c>
      <c r="AN90" s="150">
        <f>$I$90</f>
        <v>0</v>
      </c>
      <c r="AO90" s="150" t="str">
        <f>$I$90&amp;"."&amp;$M$90</f>
        <v>.</v>
      </c>
      <c r="AP90" s="150" t="str">
        <f>$I$90&amp;"."&amp;$M$90&amp;"."&amp;$Q$90</f>
        <v>..</v>
      </c>
      <c r="AQ90" s="150" t="str">
        <f>$I$90&amp;"."&amp;$M$90&amp;"."&amp;$Q$90&amp;"."&amp;$U$90</f>
        <v>...</v>
      </c>
    </row>
    <row r="91" spans="1:43" s="44" customFormat="1" ht="17.25" hidden="1" customHeight="1">
      <c r="A91" s="78"/>
      <c r="D91" s="1143"/>
      <c r="E91" s="1145"/>
      <c r="F91" s="1148"/>
      <c r="G91" s="1150"/>
      <c r="H91" s="1153"/>
      <c r="I91" s="1155"/>
      <c r="J91" s="1157"/>
      <c r="K91" s="1142"/>
      <c r="L91" s="1142"/>
      <c r="M91" s="1142"/>
      <c r="N91" s="1160"/>
      <c r="O91" s="1142"/>
      <c r="P91" s="1142"/>
      <c r="Q91" s="1142"/>
      <c r="R91" s="1161"/>
      <c r="S91" s="1142"/>
      <c r="T91" s="803"/>
      <c r="U91" s="803"/>
      <c r="V91" s="803"/>
      <c r="W91" s="804"/>
      <c r="Y91" s="369"/>
      <c r="Z91" s="369"/>
      <c r="AA91" s="369"/>
      <c r="AB91" s="369"/>
      <c r="AC91" s="79"/>
      <c r="AD91" s="79"/>
      <c r="AE91" s="79"/>
      <c r="AF91" s="79"/>
      <c r="AG91" s="79"/>
      <c r="AH91" s="79"/>
      <c r="AI91" s="79"/>
      <c r="AJ91" s="79"/>
      <c r="AK91" s="79"/>
      <c r="AL91" s="79"/>
      <c r="AM91" s="79"/>
      <c r="AN91" s="79"/>
      <c r="AO91" s="79"/>
      <c r="AP91" s="79"/>
      <c r="AQ91" s="79"/>
    </row>
    <row r="92" spans="1:43" s="44" customFormat="1" ht="17.25" hidden="1" customHeight="1">
      <c r="A92" s="78"/>
      <c r="C92" s="86"/>
      <c r="D92" s="1143"/>
      <c r="E92" s="1145"/>
      <c r="F92" s="1148"/>
      <c r="G92" s="1150"/>
      <c r="H92" s="1153"/>
      <c r="I92" s="1155"/>
      <c r="J92" s="1158"/>
      <c r="K92" s="1142"/>
      <c r="L92" s="1142"/>
      <c r="M92" s="1142"/>
      <c r="N92" s="1161"/>
      <c r="O92" s="1142"/>
      <c r="P92" s="214"/>
      <c r="Q92" s="803"/>
      <c r="R92" s="803"/>
      <c r="W92" s="804"/>
      <c r="Y92" s="785"/>
      <c r="Z92" s="785"/>
      <c r="AA92" s="785"/>
      <c r="AB92" s="785"/>
      <c r="AC92" s="150"/>
      <c r="AD92" s="150"/>
      <c r="AE92" s="150"/>
      <c r="AF92" s="150"/>
      <c r="AG92" s="150"/>
      <c r="AH92" s="150"/>
      <c r="AI92" s="150"/>
      <c r="AJ92" s="150"/>
      <c r="AK92" s="150"/>
      <c r="AL92" s="150"/>
      <c r="AM92" s="150"/>
      <c r="AN92" s="150"/>
      <c r="AO92" s="150"/>
      <c r="AP92" s="150"/>
      <c r="AQ92" s="150"/>
    </row>
    <row r="93" spans="1:43" s="44" customFormat="1" ht="17.25" hidden="1" customHeight="1">
      <c r="A93" s="78"/>
      <c r="D93" s="1143"/>
      <c r="E93" s="1145"/>
      <c r="F93" s="1148"/>
      <c r="G93" s="1150"/>
      <c r="H93" s="1153"/>
      <c r="I93" s="1155"/>
      <c r="J93" s="1158"/>
      <c r="K93" s="1142"/>
      <c r="L93" s="803"/>
      <c r="M93" s="803"/>
      <c r="N93" s="803"/>
      <c r="O93" s="803"/>
      <c r="P93" s="803"/>
      <c r="Q93" s="803"/>
      <c r="R93" s="803"/>
      <c r="W93" s="804"/>
      <c r="Y93" s="369"/>
      <c r="Z93" s="369"/>
      <c r="AA93" s="369"/>
      <c r="AB93" s="369"/>
      <c r="AC93" s="79"/>
      <c r="AD93" s="79"/>
      <c r="AE93" s="79"/>
      <c r="AF93" s="79"/>
      <c r="AG93" s="79"/>
      <c r="AH93" s="79"/>
      <c r="AI93" s="79"/>
      <c r="AJ93" s="79"/>
      <c r="AK93" s="79"/>
      <c r="AL93" s="79"/>
      <c r="AM93" s="79"/>
      <c r="AN93" s="79"/>
      <c r="AO93" s="79"/>
      <c r="AP93" s="79"/>
      <c r="AQ93" s="79"/>
    </row>
    <row r="94" spans="1:43" s="44" customFormat="1" ht="17.25" hidden="1" customHeight="1">
      <c r="A94" s="78"/>
      <c r="D94" s="1144"/>
      <c r="E94" s="1146"/>
      <c r="F94" s="1149"/>
      <c r="G94" s="1151"/>
      <c r="H94" s="805"/>
      <c r="I94" s="806"/>
      <c r="J94" s="806"/>
      <c r="K94" s="806"/>
      <c r="L94" s="806"/>
      <c r="M94" s="806"/>
      <c r="N94" s="806"/>
      <c r="O94" s="806"/>
      <c r="P94" s="806"/>
      <c r="Q94" s="806"/>
      <c r="R94" s="806"/>
      <c r="S94" s="807"/>
      <c r="T94" s="807"/>
      <c r="U94" s="807"/>
      <c r="V94" s="807"/>
      <c r="W94" s="808"/>
      <c r="Y94" s="369"/>
      <c r="Z94" s="369"/>
      <c r="AA94" s="369"/>
      <c r="AB94" s="369"/>
      <c r="AC94" s="79"/>
      <c r="AD94" s="79"/>
      <c r="AE94" s="79"/>
      <c r="AF94" s="79"/>
      <c r="AG94" s="79"/>
      <c r="AH94" s="79"/>
      <c r="AI94" s="79"/>
      <c r="AJ94" s="79"/>
      <c r="AK94" s="79"/>
      <c r="AL94" s="79"/>
      <c r="AM94" s="79"/>
      <c r="AN94" s="79"/>
      <c r="AO94" s="79"/>
      <c r="AP94" s="79"/>
      <c r="AQ94" s="79"/>
    </row>
    <row r="95" spans="1:43" s="44" customFormat="1" ht="17.25" hidden="1" customHeight="1">
      <c r="A95" s="78"/>
      <c r="C95" s="86"/>
      <c r="D95" s="1143">
        <v>2</v>
      </c>
      <c r="E95" s="1145" t="s">
        <v>246</v>
      </c>
      <c r="F95" s="1147" t="s">
        <v>57</v>
      </c>
      <c r="G95" s="1150"/>
      <c r="H95" s="1152"/>
      <c r="I95" s="1154"/>
      <c r="J95" s="1156"/>
      <c r="K95" s="1141"/>
      <c r="L95" s="1141"/>
      <c r="M95" s="1141"/>
      <c r="N95" s="1159"/>
      <c r="O95" s="1141"/>
      <c r="P95" s="1141"/>
      <c r="Q95" s="1141"/>
      <c r="R95" s="1162"/>
      <c r="S95" s="1141"/>
      <c r="T95" s="800"/>
      <c r="U95" s="800"/>
      <c r="V95" s="801"/>
      <c r="W95" s="802"/>
      <c r="X95" s="785"/>
      <c r="Y95" s="785"/>
      <c r="Z95" s="785"/>
      <c r="AA95" s="785"/>
      <c r="AB95" s="785"/>
      <c r="AC95" s="150" t="s">
        <v>247</v>
      </c>
      <c r="AD95" s="150" t="s">
        <v>248</v>
      </c>
      <c r="AE95" s="150" t="s">
        <v>249</v>
      </c>
      <c r="AF95" s="150" t="s">
        <v>250</v>
      </c>
      <c r="AG95" s="150"/>
      <c r="AH95" s="150" t="str">
        <f>IF($E$95=0,"",$E$95)</f>
        <v>Тариф на транспортировку горячей воды</v>
      </c>
      <c r="AI95" s="150" t="str">
        <f>IF($G$95=0,"",$G$95)</f>
        <v/>
      </c>
      <c r="AJ95" s="150" t="str">
        <f>IF($J$95=0,"",$J$95)</f>
        <v/>
      </c>
      <c r="AK95" s="150" t="str">
        <f>IF($K$95="нет","без дифференциации",IF($N$95=0,"",$N$95))</f>
        <v/>
      </c>
      <c r="AL95" s="150" t="str">
        <f>IF($O$95="нет","без дифференциации",IF($R$95=0,"",$R$95))</f>
        <v/>
      </c>
      <c r="AM95" s="150" t="str">
        <f>IF($S$95="нет","без дифференциации",IF($V$95=0,"",$V$95))</f>
        <v/>
      </c>
      <c r="AN95" s="818">
        <f>$I$95</f>
        <v>0</v>
      </c>
      <c r="AO95" s="150" t="str">
        <f>$I$95&amp;"."&amp;$M$95</f>
        <v>.</v>
      </c>
      <c r="AP95" s="79" t="str">
        <f>$I$95&amp;"."&amp;$M$95&amp;"."&amp;$Q$95</f>
        <v>..</v>
      </c>
      <c r="AQ95" s="79" t="str">
        <f>$I$95&amp;"."&amp;$M$95&amp;"."&amp;$Q$95&amp;"."&amp;$U$95</f>
        <v>...</v>
      </c>
    </row>
    <row r="96" spans="1:43" s="44" customFormat="1" ht="17.25" hidden="1" customHeight="1">
      <c r="A96" s="78"/>
      <c r="D96" s="1143"/>
      <c r="E96" s="1145"/>
      <c r="F96" s="1148"/>
      <c r="G96" s="1150"/>
      <c r="H96" s="1153"/>
      <c r="I96" s="1155"/>
      <c r="J96" s="1157"/>
      <c r="K96" s="1142"/>
      <c r="L96" s="1142"/>
      <c r="M96" s="1142"/>
      <c r="N96" s="1160"/>
      <c r="O96" s="1142"/>
      <c r="P96" s="1142"/>
      <c r="Q96" s="1142"/>
      <c r="R96" s="1161"/>
      <c r="S96" s="1142"/>
      <c r="T96" s="803"/>
      <c r="U96" s="803"/>
      <c r="V96" s="803"/>
      <c r="W96" s="804"/>
      <c r="X96" s="369"/>
      <c r="Y96" s="369"/>
      <c r="Z96" s="369"/>
      <c r="AA96" s="369"/>
      <c r="AB96" s="369"/>
      <c r="AC96" s="79"/>
      <c r="AD96" s="79"/>
      <c r="AE96" s="79"/>
      <c r="AF96" s="79"/>
      <c r="AG96" s="79"/>
      <c r="AH96" s="79"/>
      <c r="AI96" s="79"/>
      <c r="AJ96" s="79"/>
      <c r="AK96" s="79"/>
      <c r="AL96" s="79"/>
      <c r="AM96" s="79"/>
      <c r="AN96" s="79"/>
      <c r="AO96" s="79"/>
      <c r="AP96" s="79"/>
      <c r="AQ96" s="79"/>
    </row>
    <row r="97" spans="1:43" s="44" customFormat="1" ht="17.25" hidden="1" customHeight="1">
      <c r="A97" s="78"/>
      <c r="D97" s="1144"/>
      <c r="E97" s="1146"/>
      <c r="F97" s="1148"/>
      <c r="G97" s="1151"/>
      <c r="H97" s="1153"/>
      <c r="I97" s="1155"/>
      <c r="J97" s="1158"/>
      <c r="K97" s="1142"/>
      <c r="L97" s="1142"/>
      <c r="M97" s="1142"/>
      <c r="N97" s="1161"/>
      <c r="O97" s="1142"/>
      <c r="P97" s="214"/>
      <c r="Q97" s="803"/>
      <c r="R97" s="803"/>
      <c r="W97" s="804"/>
      <c r="X97" s="369"/>
      <c r="Y97" s="369"/>
      <c r="Z97" s="369"/>
      <c r="AA97" s="369"/>
      <c r="AB97" s="369"/>
      <c r="AC97" s="79"/>
      <c r="AD97" s="79"/>
      <c r="AE97" s="79"/>
      <c r="AF97" s="79"/>
      <c r="AG97" s="79"/>
      <c r="AH97" s="79"/>
      <c r="AI97" s="79"/>
      <c r="AJ97" s="79"/>
      <c r="AK97" s="79"/>
      <c r="AL97" s="79"/>
      <c r="AM97" s="79"/>
      <c r="AN97" s="79"/>
      <c r="AO97" s="79"/>
      <c r="AP97" s="79"/>
      <c r="AQ97" s="79"/>
    </row>
    <row r="98" spans="1:43" s="44" customFormat="1" ht="17.25" hidden="1" customHeight="1">
      <c r="A98" s="78"/>
      <c r="D98" s="1144"/>
      <c r="E98" s="1146"/>
      <c r="F98" s="1148"/>
      <c r="G98" s="1151"/>
      <c r="H98" s="1153"/>
      <c r="I98" s="1155"/>
      <c r="J98" s="1158"/>
      <c r="K98" s="1142"/>
      <c r="L98" s="803"/>
      <c r="M98" s="803"/>
      <c r="N98" s="803"/>
      <c r="O98" s="803"/>
      <c r="P98" s="803"/>
      <c r="Q98" s="803"/>
      <c r="R98" s="803"/>
      <c r="W98" s="804"/>
      <c r="X98" s="369"/>
      <c r="Y98" s="369"/>
      <c r="Z98" s="369"/>
      <c r="AA98" s="369"/>
      <c r="AB98" s="369"/>
      <c r="AC98" s="79"/>
      <c r="AD98" s="79"/>
      <c r="AE98" s="79"/>
      <c r="AF98" s="79"/>
      <c r="AG98" s="79"/>
      <c r="AH98" s="79"/>
      <c r="AI98" s="79"/>
      <c r="AJ98" s="79"/>
      <c r="AK98" s="79"/>
      <c r="AL98" s="79"/>
      <c r="AM98" s="79"/>
      <c r="AN98" s="79"/>
      <c r="AO98" s="79"/>
      <c r="AP98" s="79"/>
      <c r="AQ98" s="79"/>
    </row>
    <row r="99" spans="1:43" s="44" customFormat="1" ht="17.25" hidden="1" customHeight="1">
      <c r="A99" s="78"/>
      <c r="D99" s="1144"/>
      <c r="E99" s="1146"/>
      <c r="F99" s="1149"/>
      <c r="G99" s="1151"/>
      <c r="H99" s="805"/>
      <c r="I99" s="806"/>
      <c r="J99" s="806"/>
      <c r="K99" s="806"/>
      <c r="L99" s="806"/>
      <c r="M99" s="806"/>
      <c r="N99" s="806"/>
      <c r="O99" s="806"/>
      <c r="P99" s="806"/>
      <c r="Q99" s="806"/>
      <c r="R99" s="806"/>
      <c r="S99" s="807"/>
      <c r="T99" s="807"/>
      <c r="U99" s="807"/>
      <c r="V99" s="807"/>
      <c r="W99" s="808"/>
      <c r="X99" s="369"/>
      <c r="Y99" s="369"/>
      <c r="Z99" s="369"/>
      <c r="AA99" s="369"/>
      <c r="AB99" s="369"/>
      <c r="AC99" s="79"/>
      <c r="AD99" s="79"/>
      <c r="AE99" s="79"/>
      <c r="AF99" s="79"/>
      <c r="AG99" s="79"/>
      <c r="AH99" s="79"/>
      <c r="AI99" s="79"/>
      <c r="AJ99" s="79"/>
      <c r="AK99" s="79"/>
      <c r="AL99" s="79"/>
      <c r="AM99" s="79"/>
      <c r="AN99" s="79"/>
      <c r="AO99" s="79"/>
      <c r="AP99" s="79"/>
      <c r="AQ99" s="79"/>
    </row>
    <row r="100" spans="1:43" s="44" customFormat="1" ht="17.25" hidden="1" customHeight="1">
      <c r="A100" s="78"/>
      <c r="C100" s="86"/>
      <c r="D100" s="1143">
        <v>3</v>
      </c>
      <c r="E100" s="1145" t="s">
        <v>251</v>
      </c>
      <c r="F100" s="1147" t="s">
        <v>57</v>
      </c>
      <c r="G100" s="1150"/>
      <c r="H100" s="1152"/>
      <c r="I100" s="1154"/>
      <c r="J100" s="1156"/>
      <c r="K100" s="1141"/>
      <c r="L100" s="1141"/>
      <c r="M100" s="1141"/>
      <c r="N100" s="1159"/>
      <c r="O100" s="1141"/>
      <c r="P100" s="1141"/>
      <c r="Q100" s="1141"/>
      <c r="R100" s="1162"/>
      <c r="S100" s="1141"/>
      <c r="T100" s="800"/>
      <c r="U100" s="800"/>
      <c r="V100" s="801"/>
      <c r="W100" s="802"/>
      <c r="X100" s="785"/>
      <c r="Y100" s="785"/>
      <c r="Z100" s="785"/>
      <c r="AA100" s="785"/>
      <c r="AB100" s="785"/>
      <c r="AC100" s="150" t="s">
        <v>252</v>
      </c>
      <c r="AD100" s="150" t="s">
        <v>253</v>
      </c>
      <c r="AE100" s="150" t="s">
        <v>254</v>
      </c>
      <c r="AF100" s="150" t="s">
        <v>255</v>
      </c>
      <c r="AG100" s="150"/>
      <c r="AH100" s="150" t="str">
        <f>IF($E$100=0,"",$E$100)</f>
        <v>Тариф на подключение (технологическое присоединение) к централизованной системе горячего водоснабжения</v>
      </c>
      <c r="AI100" s="150" t="str">
        <f>IF($G$100=0,"",$G$100)</f>
        <v/>
      </c>
      <c r="AJ100" s="150" t="str">
        <f>IF($J$100=0,"",$J$100)</f>
        <v/>
      </c>
      <c r="AK100" s="150" t="str">
        <f>IF($K$100="нет","без дифференциации",IF($N$100=0,"",$N$100))</f>
        <v/>
      </c>
      <c r="AL100" s="150" t="str">
        <f>IF($O$100="нет","без дифференциации",IF($R$100=0,"",$R$100))</f>
        <v/>
      </c>
      <c r="AM100" s="150" t="str">
        <f>IF($S$100="нет","без дифференциации",IF($V$100=0,"",$V$100))</f>
        <v/>
      </c>
      <c r="AN100" s="818">
        <f>$I$100</f>
        <v>0</v>
      </c>
      <c r="AO100" s="150" t="str">
        <f>$I$100&amp;"."&amp;$M$100</f>
        <v>.</v>
      </c>
      <c r="AP100" s="79" t="str">
        <f>$I$100&amp;"."&amp;$M$100&amp;"."&amp;$Q$100</f>
        <v>..</v>
      </c>
      <c r="AQ100" s="79" t="str">
        <f>$I$100&amp;"."&amp;$M$100&amp;"."&amp;$Q$100&amp;"."&amp;$U$100</f>
        <v>...</v>
      </c>
    </row>
    <row r="101" spans="1:43" s="44" customFormat="1" ht="17.25" hidden="1" customHeight="1">
      <c r="A101" s="78"/>
      <c r="D101" s="1143"/>
      <c r="E101" s="1145"/>
      <c r="F101" s="1148"/>
      <c r="G101" s="1150"/>
      <c r="H101" s="1153"/>
      <c r="I101" s="1155"/>
      <c r="J101" s="1157"/>
      <c r="K101" s="1142"/>
      <c r="L101" s="1142"/>
      <c r="M101" s="1142"/>
      <c r="N101" s="1160"/>
      <c r="O101" s="1142"/>
      <c r="P101" s="1142"/>
      <c r="Q101" s="1142"/>
      <c r="R101" s="1161"/>
      <c r="S101" s="1142"/>
      <c r="T101" s="803"/>
      <c r="U101" s="803"/>
      <c r="V101" s="803"/>
      <c r="W101" s="804"/>
      <c r="X101" s="369"/>
      <c r="Y101" s="369"/>
      <c r="Z101" s="369"/>
      <c r="AA101" s="369"/>
      <c r="AB101" s="369"/>
      <c r="AC101" s="79"/>
      <c r="AD101" s="79"/>
      <c r="AE101" s="79"/>
      <c r="AF101" s="79"/>
      <c r="AG101" s="79"/>
      <c r="AH101" s="79"/>
      <c r="AI101" s="79"/>
      <c r="AJ101" s="79"/>
      <c r="AK101" s="79"/>
      <c r="AL101" s="79"/>
      <c r="AM101" s="79"/>
      <c r="AN101" s="79"/>
      <c r="AO101" s="79"/>
      <c r="AP101" s="79"/>
      <c r="AQ101" s="79"/>
    </row>
    <row r="102" spans="1:43" s="44" customFormat="1" ht="17.25" hidden="1" customHeight="1">
      <c r="A102" s="78"/>
      <c r="D102" s="1144"/>
      <c r="E102" s="1146"/>
      <c r="F102" s="1148"/>
      <c r="G102" s="1151"/>
      <c r="H102" s="1153"/>
      <c r="I102" s="1155"/>
      <c r="J102" s="1158"/>
      <c r="K102" s="1142"/>
      <c r="L102" s="1142"/>
      <c r="M102" s="1142"/>
      <c r="N102" s="1161"/>
      <c r="O102" s="1142"/>
      <c r="P102" s="214"/>
      <c r="Q102" s="803"/>
      <c r="R102" s="803"/>
      <c r="W102" s="804"/>
      <c r="X102" s="369"/>
      <c r="Y102" s="369"/>
      <c r="Z102" s="369"/>
      <c r="AA102" s="369"/>
      <c r="AB102" s="369"/>
      <c r="AC102" s="79"/>
      <c r="AD102" s="79"/>
      <c r="AE102" s="79"/>
      <c r="AF102" s="79"/>
      <c r="AG102" s="79"/>
      <c r="AH102" s="79"/>
      <c r="AI102" s="79"/>
      <c r="AJ102" s="79"/>
      <c r="AK102" s="79"/>
      <c r="AL102" s="79"/>
      <c r="AM102" s="79"/>
      <c r="AN102" s="79"/>
      <c r="AO102" s="79"/>
      <c r="AP102" s="79"/>
      <c r="AQ102" s="79"/>
    </row>
    <row r="103" spans="1:43" s="44" customFormat="1" ht="17.25" hidden="1" customHeight="1">
      <c r="A103" s="78"/>
      <c r="D103" s="1144"/>
      <c r="E103" s="1146"/>
      <c r="F103" s="1148"/>
      <c r="G103" s="1151"/>
      <c r="H103" s="1153"/>
      <c r="I103" s="1155"/>
      <c r="J103" s="1158"/>
      <c r="K103" s="1142"/>
      <c r="L103" s="803"/>
      <c r="M103" s="803"/>
      <c r="N103" s="803"/>
      <c r="O103" s="803"/>
      <c r="P103" s="803"/>
      <c r="Q103" s="803"/>
      <c r="R103" s="803"/>
      <c r="W103" s="804"/>
      <c r="X103" s="369"/>
      <c r="Y103" s="369"/>
      <c r="Z103" s="369"/>
      <c r="AA103" s="369"/>
      <c r="AB103" s="369"/>
      <c r="AC103" s="79"/>
      <c r="AD103" s="79"/>
      <c r="AE103" s="79"/>
      <c r="AF103" s="79"/>
      <c r="AG103" s="79"/>
      <c r="AH103" s="79"/>
      <c r="AI103" s="79"/>
      <c r="AJ103" s="79"/>
      <c r="AK103" s="79"/>
      <c r="AL103" s="79"/>
      <c r="AM103" s="79"/>
      <c r="AN103" s="79"/>
      <c r="AO103" s="79"/>
      <c r="AP103" s="79"/>
      <c r="AQ103" s="79"/>
    </row>
    <row r="104" spans="1:43" s="44" customFormat="1" ht="17.25" hidden="1" customHeight="1">
      <c r="A104" s="78"/>
      <c r="D104" s="1144"/>
      <c r="E104" s="1146"/>
      <c r="F104" s="1149"/>
      <c r="G104" s="1151"/>
      <c r="H104" s="805"/>
      <c r="I104" s="806"/>
      <c r="J104" s="806"/>
      <c r="K104" s="806"/>
      <c r="L104" s="806"/>
      <c r="M104" s="806"/>
      <c r="N104" s="806"/>
      <c r="O104" s="806"/>
      <c r="P104" s="806"/>
      <c r="Q104" s="806"/>
      <c r="R104" s="806"/>
      <c r="S104" s="807"/>
      <c r="T104" s="807"/>
      <c r="U104" s="807"/>
      <c r="V104" s="807"/>
      <c r="W104" s="808"/>
      <c r="X104" s="369"/>
      <c r="Y104" s="369"/>
      <c r="Z104" s="369"/>
      <c r="AA104" s="369"/>
      <c r="AB104" s="369"/>
      <c r="AC104" s="79"/>
      <c r="AD104" s="79"/>
      <c r="AE104" s="79"/>
      <c r="AF104" s="79"/>
      <c r="AG104" s="79"/>
      <c r="AH104" s="79"/>
      <c r="AI104" s="79"/>
      <c r="AJ104" s="79"/>
      <c r="AK104" s="79"/>
      <c r="AL104" s="79"/>
      <c r="AM104" s="79"/>
      <c r="AN104" s="79"/>
      <c r="AO104" s="79"/>
      <c r="AP104" s="79"/>
      <c r="AQ104" s="79"/>
    </row>
    <row r="105" spans="1:43" s="44" customFormat="1" ht="11.25" hidden="1" customHeight="1">
      <c r="A105" s="79"/>
      <c r="B105" s="79"/>
      <c r="Y105" s="369"/>
      <c r="Z105" s="369"/>
      <c r="AA105" s="369"/>
      <c r="AB105" s="369"/>
      <c r="AC105" s="79"/>
      <c r="AD105" s="79"/>
      <c r="AE105" s="79"/>
      <c r="AF105" s="79"/>
      <c r="AG105" s="79"/>
      <c r="AH105" s="79"/>
      <c r="AI105" s="79"/>
      <c r="AJ105" s="79"/>
      <c r="AK105" s="79"/>
      <c r="AL105" s="79"/>
      <c r="AM105" s="79"/>
      <c r="AN105" s="79"/>
      <c r="AO105" s="79"/>
      <c r="AP105" s="79"/>
      <c r="AQ105" s="79"/>
    </row>
    <row r="106" spans="1:43" s="44" customFormat="1" ht="17.25" hidden="1" customHeight="1">
      <c r="A106" s="78"/>
      <c r="C106" s="86"/>
      <c r="D106" s="1143">
        <v>1</v>
      </c>
      <c r="E106" s="1145" t="s">
        <v>256</v>
      </c>
      <c r="F106" s="1147" t="s">
        <v>57</v>
      </c>
      <c r="G106" s="1150"/>
      <c r="H106" s="1152"/>
      <c r="I106" s="1154"/>
      <c r="J106" s="1156"/>
      <c r="K106" s="1141"/>
      <c r="L106" s="1141"/>
      <c r="M106" s="1141"/>
      <c r="N106" s="1159"/>
      <c r="O106" s="1141"/>
      <c r="P106" s="1141"/>
      <c r="Q106" s="1141"/>
      <c r="R106" s="1162"/>
      <c r="S106" s="1141"/>
      <c r="T106" s="800"/>
      <c r="U106" s="800"/>
      <c r="V106" s="801"/>
      <c r="W106" s="802"/>
      <c r="Y106" s="785"/>
      <c r="Z106" s="785"/>
      <c r="AA106" s="785"/>
      <c r="AB106" s="785"/>
      <c r="AC106" s="150" t="s">
        <v>257</v>
      </c>
      <c r="AD106" s="150" t="s">
        <v>258</v>
      </c>
      <c r="AE106" s="150" t="s">
        <v>259</v>
      </c>
      <c r="AF106" s="150" t="s">
        <v>260</v>
      </c>
      <c r="AG106" s="150"/>
      <c r="AH106" s="150" t="str">
        <f>IF($E$106=0,"",$E$106)</f>
        <v>Тариф на водоотведение</v>
      </c>
      <c r="AI106" s="150" t="str">
        <f>IF($G$106=0,"",$G$106)</f>
        <v/>
      </c>
      <c r="AJ106" s="150" t="str">
        <f>IF($J$106=0,"",$J$106)</f>
        <v/>
      </c>
      <c r="AK106" s="150" t="str">
        <f>IF($K$106="нет","без дифференциации",IF($N$106=0,"",$N$106))</f>
        <v/>
      </c>
      <c r="AL106" s="150" t="str">
        <f>IF($O$106="нет","без дифференциации",IF($R$106=0,"",$R$106))</f>
        <v/>
      </c>
      <c r="AM106" s="150" t="str">
        <f>IF($S$106="нет","без дифференциации",IF($V$106=0,"",$V$106))</f>
        <v/>
      </c>
      <c r="AN106" s="150">
        <f>$I$106</f>
        <v>0</v>
      </c>
      <c r="AO106" s="150" t="str">
        <f>$I$106&amp;"."&amp;$M$106</f>
        <v>.</v>
      </c>
      <c r="AP106" s="150" t="str">
        <f>$I$106&amp;"."&amp;$M$106&amp;"."&amp;$Q$106</f>
        <v>..</v>
      </c>
      <c r="AQ106" s="150" t="str">
        <f>$I$106&amp;"."&amp;$M$106&amp;"."&amp;$Q$106&amp;"."&amp;$U$106</f>
        <v>...</v>
      </c>
    </row>
    <row r="107" spans="1:43" s="44" customFormat="1" ht="17.25" hidden="1" customHeight="1">
      <c r="A107" s="78"/>
      <c r="D107" s="1143"/>
      <c r="E107" s="1145"/>
      <c r="F107" s="1148"/>
      <c r="G107" s="1150"/>
      <c r="H107" s="1153"/>
      <c r="I107" s="1155"/>
      <c r="J107" s="1157"/>
      <c r="K107" s="1142"/>
      <c r="L107" s="1142"/>
      <c r="M107" s="1142"/>
      <c r="N107" s="1160"/>
      <c r="O107" s="1142"/>
      <c r="P107" s="1142"/>
      <c r="Q107" s="1142"/>
      <c r="R107" s="1161"/>
      <c r="S107" s="1142"/>
      <c r="T107" s="803"/>
      <c r="U107" s="803"/>
      <c r="V107" s="803"/>
      <c r="W107" s="804"/>
      <c r="Y107" s="369"/>
      <c r="Z107" s="369"/>
      <c r="AA107" s="369"/>
      <c r="AB107" s="369"/>
      <c r="AC107" s="79"/>
      <c r="AD107" s="79"/>
      <c r="AE107" s="79"/>
      <c r="AF107" s="79"/>
      <c r="AG107" s="79"/>
      <c r="AH107" s="79"/>
      <c r="AI107" s="79"/>
      <c r="AJ107" s="79"/>
      <c r="AK107" s="79"/>
      <c r="AL107" s="79"/>
      <c r="AM107" s="79"/>
      <c r="AN107" s="79"/>
      <c r="AO107" s="79"/>
      <c r="AP107" s="79"/>
      <c r="AQ107" s="79"/>
    </row>
    <row r="108" spans="1:43" s="44" customFormat="1" ht="17.25" hidden="1" customHeight="1">
      <c r="A108" s="78"/>
      <c r="C108" s="86"/>
      <c r="D108" s="1143"/>
      <c r="E108" s="1145"/>
      <c r="F108" s="1148"/>
      <c r="G108" s="1150"/>
      <c r="H108" s="1153"/>
      <c r="I108" s="1155"/>
      <c r="J108" s="1158"/>
      <c r="K108" s="1142"/>
      <c r="L108" s="1142"/>
      <c r="M108" s="1142"/>
      <c r="N108" s="1161"/>
      <c r="O108" s="1142"/>
      <c r="P108" s="214"/>
      <c r="Q108" s="803"/>
      <c r="R108" s="803"/>
      <c r="W108" s="804"/>
      <c r="Y108" s="785"/>
      <c r="Z108" s="785"/>
      <c r="AA108" s="785"/>
      <c r="AB108" s="785"/>
      <c r="AC108" s="150"/>
      <c r="AD108" s="150"/>
      <c r="AE108" s="150"/>
      <c r="AF108" s="150"/>
      <c r="AG108" s="150"/>
      <c r="AH108" s="150"/>
      <c r="AI108" s="150"/>
      <c r="AJ108" s="150"/>
      <c r="AK108" s="150"/>
      <c r="AL108" s="150"/>
      <c r="AM108" s="150"/>
      <c r="AN108" s="150"/>
      <c r="AO108" s="150"/>
      <c r="AP108" s="150"/>
      <c r="AQ108" s="150"/>
    </row>
    <row r="109" spans="1:43" s="44" customFormat="1" ht="17.25" hidden="1" customHeight="1">
      <c r="A109" s="78"/>
      <c r="D109" s="1143"/>
      <c r="E109" s="1145"/>
      <c r="F109" s="1148"/>
      <c r="G109" s="1150"/>
      <c r="H109" s="1153"/>
      <c r="I109" s="1155"/>
      <c r="J109" s="1158"/>
      <c r="K109" s="1142"/>
      <c r="L109" s="803"/>
      <c r="M109" s="803"/>
      <c r="N109" s="803"/>
      <c r="O109" s="803"/>
      <c r="P109" s="803"/>
      <c r="Q109" s="803"/>
      <c r="R109" s="803"/>
      <c r="W109" s="804"/>
      <c r="Y109" s="369"/>
      <c r="Z109" s="369"/>
      <c r="AA109" s="369"/>
      <c r="AB109" s="369"/>
      <c r="AC109" s="79"/>
      <c r="AD109" s="79"/>
      <c r="AE109" s="79"/>
      <c r="AF109" s="79"/>
      <c r="AG109" s="79"/>
      <c r="AH109" s="79"/>
      <c r="AI109" s="79"/>
      <c r="AJ109" s="79"/>
      <c r="AK109" s="79"/>
      <c r="AL109" s="79"/>
      <c r="AM109" s="79"/>
      <c r="AN109" s="79"/>
      <c r="AO109" s="79"/>
      <c r="AP109" s="79"/>
      <c r="AQ109" s="79"/>
    </row>
    <row r="110" spans="1:43" s="44" customFormat="1" ht="17.25" hidden="1" customHeight="1">
      <c r="A110" s="78"/>
      <c r="D110" s="1144"/>
      <c r="E110" s="1146"/>
      <c r="F110" s="1149"/>
      <c r="G110" s="1151"/>
      <c r="H110" s="805"/>
      <c r="I110" s="806"/>
      <c r="J110" s="806"/>
      <c r="K110" s="806"/>
      <c r="L110" s="806"/>
      <c r="M110" s="806"/>
      <c r="N110" s="806"/>
      <c r="O110" s="806"/>
      <c r="P110" s="806"/>
      <c r="Q110" s="806"/>
      <c r="R110" s="806"/>
      <c r="S110" s="807"/>
      <c r="T110" s="807"/>
      <c r="U110" s="807"/>
      <c r="V110" s="807"/>
      <c r="W110" s="808"/>
      <c r="Y110" s="369"/>
      <c r="Z110" s="369"/>
      <c r="AA110" s="369"/>
      <c r="AB110" s="369"/>
      <c r="AC110" s="79"/>
      <c r="AD110" s="79"/>
      <c r="AE110" s="79"/>
      <c r="AF110" s="79"/>
      <c r="AG110" s="79"/>
      <c r="AH110" s="79"/>
      <c r="AI110" s="79"/>
      <c r="AJ110" s="79"/>
      <c r="AK110" s="79"/>
      <c r="AL110" s="79"/>
      <c r="AM110" s="79"/>
      <c r="AN110" s="79"/>
      <c r="AO110" s="79"/>
      <c r="AP110" s="79"/>
      <c r="AQ110" s="79"/>
    </row>
    <row r="111" spans="1:43" s="44" customFormat="1" ht="17.25" hidden="1" customHeight="1">
      <c r="A111" s="78"/>
      <c r="C111" s="86"/>
      <c r="D111" s="1143">
        <v>2</v>
      </c>
      <c r="E111" s="1145" t="s">
        <v>261</v>
      </c>
      <c r="F111" s="1147" t="s">
        <v>57</v>
      </c>
      <c r="G111" s="1150"/>
      <c r="H111" s="1152"/>
      <c r="I111" s="1154"/>
      <c r="J111" s="1156"/>
      <c r="K111" s="1141"/>
      <c r="L111" s="1141"/>
      <c r="M111" s="1141"/>
      <c r="N111" s="1159"/>
      <c r="O111" s="1141"/>
      <c r="P111" s="1141"/>
      <c r="Q111" s="1141"/>
      <c r="R111" s="1162"/>
      <c r="S111" s="1141"/>
      <c r="T111" s="800"/>
      <c r="U111" s="800"/>
      <c r="V111" s="801"/>
      <c r="W111" s="802"/>
      <c r="X111" s="785"/>
      <c r="Y111" s="785"/>
      <c r="Z111" s="785"/>
      <c r="AA111" s="785"/>
      <c r="AB111" s="785"/>
      <c r="AC111" s="150" t="s">
        <v>262</v>
      </c>
      <c r="AD111" s="150" t="s">
        <v>263</v>
      </c>
      <c r="AE111" s="150" t="s">
        <v>264</v>
      </c>
      <c r="AF111" s="150" t="s">
        <v>265</v>
      </c>
      <c r="AG111" s="150"/>
      <c r="AH111" s="150" t="str">
        <f>IF($E$111=0,"",$E$111)</f>
        <v>Тариф на транспортировку сточных вод</v>
      </c>
      <c r="AI111" s="150" t="str">
        <f>IF($G$111=0,"",$G$111)</f>
        <v/>
      </c>
      <c r="AJ111" s="150" t="str">
        <f>IF($J$111=0,"",$J$111)</f>
        <v/>
      </c>
      <c r="AK111" s="150" t="str">
        <f>IF($K$111="нет","без дифференциации",IF($N$111=0,"",$N$111))</f>
        <v/>
      </c>
      <c r="AL111" s="150" t="str">
        <f>IF($O$111="нет","без дифференциации",IF($R$111=0,"",$R$111))</f>
        <v/>
      </c>
      <c r="AM111" s="150" t="str">
        <f>IF($S$111="нет","без дифференциации",IF($V$111=0,"",$V$111))</f>
        <v/>
      </c>
      <c r="AN111" s="818">
        <f>$I$111</f>
        <v>0</v>
      </c>
      <c r="AO111" s="150" t="str">
        <f>$I$111&amp;"."&amp;$M$111</f>
        <v>.</v>
      </c>
      <c r="AP111" s="79" t="str">
        <f>$I$111&amp;"."&amp;$M$111&amp;"."&amp;$Q$111</f>
        <v>..</v>
      </c>
      <c r="AQ111" s="79" t="str">
        <f>$I$111&amp;"."&amp;$M$111&amp;"."&amp;$Q$111&amp;"."&amp;$U$111</f>
        <v>...</v>
      </c>
    </row>
    <row r="112" spans="1:43" s="44" customFormat="1" ht="17.25" hidden="1" customHeight="1">
      <c r="A112" s="78"/>
      <c r="D112" s="1143"/>
      <c r="E112" s="1145"/>
      <c r="F112" s="1148"/>
      <c r="G112" s="1150"/>
      <c r="H112" s="1153"/>
      <c r="I112" s="1155"/>
      <c r="J112" s="1157"/>
      <c r="K112" s="1142"/>
      <c r="L112" s="1142"/>
      <c r="M112" s="1142"/>
      <c r="N112" s="1160"/>
      <c r="O112" s="1142"/>
      <c r="P112" s="1142"/>
      <c r="Q112" s="1142"/>
      <c r="R112" s="1161"/>
      <c r="S112" s="1142"/>
      <c r="T112" s="803"/>
      <c r="U112" s="803"/>
      <c r="V112" s="803"/>
      <c r="W112" s="804"/>
      <c r="X112" s="369"/>
      <c r="Y112" s="369"/>
      <c r="Z112" s="369"/>
      <c r="AA112" s="369"/>
      <c r="AB112" s="369"/>
      <c r="AC112" s="79"/>
      <c r="AD112" s="79"/>
      <c r="AE112" s="79"/>
      <c r="AF112" s="79"/>
      <c r="AG112" s="79"/>
      <c r="AH112" s="79"/>
      <c r="AI112" s="79"/>
      <c r="AJ112" s="79"/>
      <c r="AK112" s="79"/>
      <c r="AL112" s="79"/>
      <c r="AM112" s="79"/>
      <c r="AN112" s="79"/>
      <c r="AO112" s="79"/>
      <c r="AP112" s="79"/>
      <c r="AQ112" s="79"/>
    </row>
    <row r="113" spans="1:43" s="44" customFormat="1" ht="17.25" hidden="1" customHeight="1">
      <c r="A113" s="78"/>
      <c r="D113" s="1144"/>
      <c r="E113" s="1146"/>
      <c r="F113" s="1148"/>
      <c r="G113" s="1151"/>
      <c r="H113" s="1153"/>
      <c r="I113" s="1155"/>
      <c r="J113" s="1158"/>
      <c r="K113" s="1142"/>
      <c r="L113" s="1142"/>
      <c r="M113" s="1142"/>
      <c r="N113" s="1161"/>
      <c r="O113" s="1142"/>
      <c r="P113" s="214"/>
      <c r="Q113" s="803"/>
      <c r="R113" s="803"/>
      <c r="W113" s="804"/>
      <c r="X113" s="369"/>
      <c r="Y113" s="369"/>
      <c r="Z113" s="369"/>
      <c r="AA113" s="369"/>
      <c r="AB113" s="369"/>
      <c r="AC113" s="79"/>
      <c r="AD113" s="79"/>
      <c r="AE113" s="79"/>
      <c r="AF113" s="79"/>
      <c r="AG113" s="79"/>
      <c r="AH113" s="79"/>
      <c r="AI113" s="79"/>
      <c r="AJ113" s="79"/>
      <c r="AK113" s="79"/>
      <c r="AL113" s="79"/>
      <c r="AM113" s="79"/>
      <c r="AN113" s="79"/>
      <c r="AO113" s="79"/>
      <c r="AP113" s="79"/>
      <c r="AQ113" s="79"/>
    </row>
    <row r="114" spans="1:43" s="44" customFormat="1" ht="17.25" hidden="1" customHeight="1">
      <c r="A114" s="78"/>
      <c r="D114" s="1144"/>
      <c r="E114" s="1146"/>
      <c r="F114" s="1148"/>
      <c r="G114" s="1151"/>
      <c r="H114" s="1153"/>
      <c r="I114" s="1155"/>
      <c r="J114" s="1158"/>
      <c r="K114" s="1142"/>
      <c r="L114" s="803"/>
      <c r="M114" s="803"/>
      <c r="N114" s="803"/>
      <c r="O114" s="803"/>
      <c r="P114" s="803"/>
      <c r="Q114" s="803"/>
      <c r="R114" s="803"/>
      <c r="W114" s="804"/>
      <c r="X114" s="369"/>
      <c r="Y114" s="369"/>
      <c r="Z114" s="369"/>
      <c r="AA114" s="369"/>
      <c r="AB114" s="369"/>
      <c r="AC114" s="79"/>
      <c r="AD114" s="79"/>
      <c r="AE114" s="79"/>
      <c r="AF114" s="79"/>
      <c r="AG114" s="79"/>
      <c r="AH114" s="79"/>
      <c r="AI114" s="79"/>
      <c r="AJ114" s="79"/>
      <c r="AK114" s="79"/>
      <c r="AL114" s="79"/>
      <c r="AM114" s="79"/>
      <c r="AN114" s="79"/>
      <c r="AO114" s="79"/>
      <c r="AP114" s="79"/>
      <c r="AQ114" s="79"/>
    </row>
    <row r="115" spans="1:43" s="44" customFormat="1" ht="17.25" hidden="1" customHeight="1">
      <c r="A115" s="78"/>
      <c r="D115" s="1144"/>
      <c r="E115" s="1146"/>
      <c r="F115" s="1149"/>
      <c r="G115" s="1151"/>
      <c r="H115" s="805"/>
      <c r="I115" s="806"/>
      <c r="J115" s="806"/>
      <c r="K115" s="806"/>
      <c r="L115" s="806"/>
      <c r="M115" s="806"/>
      <c r="N115" s="806"/>
      <c r="O115" s="806"/>
      <c r="P115" s="806"/>
      <c r="Q115" s="806"/>
      <c r="R115" s="806"/>
      <c r="S115" s="807"/>
      <c r="T115" s="807"/>
      <c r="U115" s="807"/>
      <c r="V115" s="807"/>
      <c r="W115" s="808"/>
      <c r="X115" s="369"/>
      <c r="Y115" s="369"/>
      <c r="Z115" s="369"/>
      <c r="AA115" s="369"/>
      <c r="AB115" s="369"/>
      <c r="AC115" s="79"/>
      <c r="AD115" s="79"/>
      <c r="AE115" s="79"/>
      <c r="AF115" s="79"/>
      <c r="AG115" s="79"/>
      <c r="AH115" s="79"/>
      <c r="AI115" s="79"/>
      <c r="AJ115" s="79"/>
      <c r="AK115" s="79"/>
      <c r="AL115" s="79"/>
      <c r="AM115" s="79"/>
      <c r="AN115" s="79"/>
      <c r="AO115" s="79"/>
      <c r="AP115" s="79"/>
      <c r="AQ115" s="79"/>
    </row>
    <row r="116" spans="1:43" s="44" customFormat="1" ht="17.25" hidden="1" customHeight="1">
      <c r="A116" s="78"/>
      <c r="C116" s="86"/>
      <c r="D116" s="1143">
        <v>3</v>
      </c>
      <c r="E116" s="1145" t="s">
        <v>266</v>
      </c>
      <c r="F116" s="1147" t="s">
        <v>57</v>
      </c>
      <c r="G116" s="1150"/>
      <c r="H116" s="1152"/>
      <c r="I116" s="1154"/>
      <c r="J116" s="1156"/>
      <c r="K116" s="1141"/>
      <c r="L116" s="1141"/>
      <c r="M116" s="1141"/>
      <c r="N116" s="1159"/>
      <c r="O116" s="1141"/>
      <c r="P116" s="1141"/>
      <c r="Q116" s="1141"/>
      <c r="R116" s="1162"/>
      <c r="S116" s="1141"/>
      <c r="T116" s="800"/>
      <c r="U116" s="800"/>
      <c r="V116" s="801"/>
      <c r="W116" s="802"/>
      <c r="X116" s="785"/>
      <c r="Y116" s="785"/>
      <c r="Z116" s="785"/>
      <c r="AA116" s="785"/>
      <c r="AB116" s="785"/>
      <c r="AC116" s="150" t="s">
        <v>267</v>
      </c>
      <c r="AD116" s="150" t="s">
        <v>268</v>
      </c>
      <c r="AE116" s="150" t="s">
        <v>269</v>
      </c>
      <c r="AF116" s="150" t="s">
        <v>270</v>
      </c>
      <c r="AG116" s="150"/>
      <c r="AH116" s="150" t="str">
        <f>IF($E$116=0,"",$E$116)</f>
        <v>Тариф на подключение (технологическое присоединение) к централизованной системе водоотведения</v>
      </c>
      <c r="AI116" s="150" t="str">
        <f>IF($G$116=0,"",$G$116)</f>
        <v/>
      </c>
      <c r="AJ116" s="150" t="str">
        <f>IF($J$116=0,"",$J$116)</f>
        <v/>
      </c>
      <c r="AK116" s="150" t="str">
        <f>IF($K$116="нет","без дифференциации",IF($N$116=0,"",$N$116))</f>
        <v/>
      </c>
      <c r="AL116" s="150" t="str">
        <f>IF($O$116="нет","без дифференциации",IF($R$116=0,"",$R$116))</f>
        <v/>
      </c>
      <c r="AM116" s="150" t="str">
        <f>IF($S$116="нет","без дифференциации",IF($V$116=0,"",$V$116))</f>
        <v/>
      </c>
      <c r="AN116" s="818">
        <f>$I$116</f>
        <v>0</v>
      </c>
      <c r="AO116" s="150" t="str">
        <f>$I$116&amp;"."&amp;$M$116</f>
        <v>.</v>
      </c>
      <c r="AP116" s="79" t="str">
        <f>$I$116&amp;"."&amp;$M$116&amp;"."&amp;$Q$116</f>
        <v>..</v>
      </c>
      <c r="AQ116" s="79" t="str">
        <f>$I$116&amp;"."&amp;$M$116&amp;"."&amp;$Q$116&amp;"."&amp;$U$116</f>
        <v>...</v>
      </c>
    </row>
    <row r="117" spans="1:43" s="44" customFormat="1" ht="17.25" hidden="1" customHeight="1">
      <c r="A117" s="78"/>
      <c r="D117" s="1143"/>
      <c r="E117" s="1145"/>
      <c r="F117" s="1148"/>
      <c r="G117" s="1150"/>
      <c r="H117" s="1153"/>
      <c r="I117" s="1155"/>
      <c r="J117" s="1157"/>
      <c r="K117" s="1142"/>
      <c r="L117" s="1142"/>
      <c r="M117" s="1142"/>
      <c r="N117" s="1160"/>
      <c r="O117" s="1142"/>
      <c r="P117" s="1142"/>
      <c r="Q117" s="1142"/>
      <c r="R117" s="1161"/>
      <c r="S117" s="1142"/>
      <c r="T117" s="803"/>
      <c r="U117" s="803"/>
      <c r="V117" s="803"/>
      <c r="W117" s="804"/>
      <c r="X117" s="369"/>
      <c r="Y117" s="369"/>
      <c r="Z117" s="369"/>
      <c r="AA117" s="369"/>
      <c r="AB117" s="369"/>
      <c r="AC117" s="79"/>
      <c r="AD117" s="79"/>
      <c r="AE117" s="79"/>
      <c r="AF117" s="79"/>
      <c r="AG117" s="79"/>
      <c r="AH117" s="79"/>
      <c r="AI117" s="79"/>
      <c r="AJ117" s="79"/>
      <c r="AK117" s="79"/>
      <c r="AL117" s="79"/>
      <c r="AM117" s="79"/>
      <c r="AN117" s="79"/>
      <c r="AO117" s="79"/>
      <c r="AP117" s="79"/>
      <c r="AQ117" s="79"/>
    </row>
    <row r="118" spans="1:43" s="44" customFormat="1" ht="17.25" hidden="1" customHeight="1">
      <c r="A118" s="78"/>
      <c r="D118" s="1144"/>
      <c r="E118" s="1146"/>
      <c r="F118" s="1148"/>
      <c r="G118" s="1151"/>
      <c r="H118" s="1153"/>
      <c r="I118" s="1155"/>
      <c r="J118" s="1158"/>
      <c r="K118" s="1142"/>
      <c r="L118" s="1142"/>
      <c r="M118" s="1142"/>
      <c r="N118" s="1161"/>
      <c r="O118" s="1142"/>
      <c r="P118" s="214"/>
      <c r="Q118" s="803"/>
      <c r="R118" s="803"/>
      <c r="W118" s="804"/>
      <c r="X118" s="369"/>
      <c r="Y118" s="369"/>
      <c r="Z118" s="369"/>
      <c r="AA118" s="369"/>
      <c r="AB118" s="369"/>
      <c r="AC118" s="79"/>
      <c r="AD118" s="79"/>
      <c r="AE118" s="79"/>
      <c r="AF118" s="79"/>
      <c r="AG118" s="79"/>
      <c r="AH118" s="79"/>
      <c r="AI118" s="79"/>
      <c r="AJ118" s="79"/>
      <c r="AK118" s="79"/>
      <c r="AL118" s="79"/>
      <c r="AM118" s="79"/>
      <c r="AN118" s="79"/>
      <c r="AO118" s="79"/>
      <c r="AP118" s="79"/>
      <c r="AQ118" s="79"/>
    </row>
    <row r="119" spans="1:43" s="44" customFormat="1" ht="17.25" hidden="1" customHeight="1">
      <c r="A119" s="78"/>
      <c r="D119" s="1144"/>
      <c r="E119" s="1146"/>
      <c r="F119" s="1148"/>
      <c r="G119" s="1151"/>
      <c r="H119" s="1153"/>
      <c r="I119" s="1155"/>
      <c r="J119" s="1158"/>
      <c r="K119" s="1142"/>
      <c r="L119" s="803"/>
      <c r="M119" s="803"/>
      <c r="N119" s="803"/>
      <c r="O119" s="803"/>
      <c r="P119" s="803"/>
      <c r="Q119" s="803"/>
      <c r="R119" s="803"/>
      <c r="W119" s="804"/>
      <c r="X119" s="369"/>
      <c r="Y119" s="369"/>
      <c r="Z119" s="369"/>
      <c r="AA119" s="369"/>
      <c r="AB119" s="369"/>
      <c r="AC119" s="79"/>
      <c r="AD119" s="79"/>
      <c r="AE119" s="79"/>
      <c r="AF119" s="79"/>
      <c r="AG119" s="79"/>
      <c r="AH119" s="79"/>
      <c r="AI119" s="79"/>
      <c r="AJ119" s="79"/>
      <c r="AK119" s="79"/>
      <c r="AL119" s="79"/>
      <c r="AM119" s="79"/>
      <c r="AN119" s="79"/>
      <c r="AO119" s="79"/>
      <c r="AP119" s="79"/>
      <c r="AQ119" s="79"/>
    </row>
    <row r="120" spans="1:43" s="44" customFormat="1" ht="17.25" hidden="1" customHeight="1">
      <c r="A120" s="78"/>
      <c r="D120" s="1144"/>
      <c r="E120" s="1146"/>
      <c r="F120" s="1149"/>
      <c r="G120" s="1151"/>
      <c r="H120" s="805"/>
      <c r="I120" s="806"/>
      <c r="J120" s="806"/>
      <c r="K120" s="806"/>
      <c r="L120" s="806"/>
      <c r="M120" s="806"/>
      <c r="N120" s="806"/>
      <c r="O120" s="806"/>
      <c r="P120" s="806"/>
      <c r="Q120" s="806"/>
      <c r="R120" s="806"/>
      <c r="S120" s="807"/>
      <c r="T120" s="807"/>
      <c r="U120" s="807"/>
      <c r="V120" s="807"/>
      <c r="W120" s="808"/>
      <c r="X120" s="369"/>
      <c r="Y120" s="369"/>
      <c r="Z120" s="369"/>
      <c r="AA120" s="369"/>
      <c r="AB120" s="369"/>
      <c r="AC120" s="79"/>
      <c r="AD120" s="79"/>
      <c r="AE120" s="79"/>
      <c r="AF120" s="79"/>
      <c r="AG120" s="79"/>
      <c r="AH120" s="79"/>
      <c r="AI120" s="79"/>
      <c r="AJ120" s="79"/>
      <c r="AK120" s="79"/>
      <c r="AL120" s="79"/>
      <c r="AM120" s="79"/>
      <c r="AN120" s="79"/>
      <c r="AO120" s="79"/>
      <c r="AP120" s="79"/>
      <c r="AQ120" s="79"/>
    </row>
    <row r="121" spans="1:43" ht="11.25" hidden="1" customHeight="1"/>
  </sheetData>
  <sheetProtection formatColumns="0" formatRows="0" insertRows="0" deleteColumns="0" deleteRows="0" sort="0" autoFilter="0"/>
  <mergeCells count="331">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O106:O108"/>
    <mergeCell ref="M111:M113"/>
    <mergeCell ref="N111:N113"/>
    <mergeCell ref="O111:O113"/>
    <mergeCell ref="P106:P107"/>
    <mergeCell ref="Q106:Q107"/>
    <mergeCell ref="R106:R107"/>
    <mergeCell ref="P111:P112"/>
    <mergeCell ref="Q111:Q112"/>
    <mergeCell ref="R111:R112"/>
    <mergeCell ref="K111:K114"/>
    <mergeCell ref="L111:L113"/>
    <mergeCell ref="H106:H109"/>
    <mergeCell ref="I106:I109"/>
    <mergeCell ref="J106:J109"/>
    <mergeCell ref="K106:K109"/>
    <mergeCell ref="L106:L108"/>
    <mergeCell ref="M106:M108"/>
    <mergeCell ref="N106:N108"/>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s>
  <dataValidations count="4">
    <dataValidation allowBlank="1" showInputMessage="1" showErrorMessage="1" prompt="Выберите виды деятельности, выполнив двойной щелчок левой кнопки мыши по ячейке." sqref="G13:G52 G64:G88 G90:G104 G106:G120" xr:uid="{00000000-0002-0000-0400-000000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84:N86 N69:N71 N74:N76 N48:N50 N90:N92 N95:N97 N100:N102 N111:N113 N106:N108 N116:N118" xr:uid="{00000000-0002-0000-0400-000001000000}">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84:J85 R84:R85 V84:W84 J48:J49 R48:R49 V48:W48 J90:J91 R90:R91 V90:W90 J95:J96 R95:R96 V95:W95 J100:J101 R100:R101 V100:W100 J111:J112 R111:R112 V111:W111 J106:J107 R106:R107 V106:W106 J116:J117 R116:R117 V116:W116" xr:uid="{00000000-0002-0000-0400-000002000000}">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xr:uid="{00000000-0002-0000-04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B55A6C-4DEF-8355-5798-4F3E520BA363}">
  <sheetPr>
    <tabColor theme="6" tint="0.39997558519241921"/>
  </sheetPr>
  <dimension ref="A1:AP57"/>
  <sheetViews>
    <sheetView showGridLines="0" topLeftCell="P23" workbookViewId="0"/>
  </sheetViews>
  <sheetFormatPr defaultColWidth="10.5703125" defaultRowHeight="14.25" customHeight="1"/>
  <cols>
    <col min="1" max="1" width="10.5703125" style="72" hidden="1"/>
    <col min="2" max="2" width="11" style="72" hidden="1" customWidth="1"/>
    <col min="3" max="3" width="10.5703125" style="72" hidden="1"/>
    <col min="4" max="4" width="11.85546875" style="72" hidden="1" customWidth="1"/>
    <col min="5" max="5" width="10" style="72" hidden="1" customWidth="1"/>
    <col min="6" max="6" width="8.7109375" style="72" hidden="1" customWidth="1"/>
    <col min="7" max="7" width="7.5703125" style="72" hidden="1" customWidth="1"/>
    <col min="8" max="8" width="11.42578125" style="72" hidden="1" customWidth="1"/>
    <col min="9" max="9" width="14.140625" style="72" hidden="1" customWidth="1"/>
    <col min="10" max="10" width="9.85546875" style="72" hidden="1" customWidth="1"/>
    <col min="11" max="11" width="14.7109375" style="72" hidden="1" customWidth="1"/>
    <col min="12" max="12" width="19.140625" style="388" hidden="1" customWidth="1"/>
    <col min="13" max="14" width="12.28515625" style="541" hidden="1" customWidth="1"/>
    <col min="15" max="15" width="23.42578125" style="541" hidden="1" customWidth="1"/>
    <col min="16" max="16" width="3.7109375" style="42" customWidth="1"/>
    <col min="17" max="18" width="3.7109375" style="37" customWidth="1"/>
    <col min="19" max="19" width="12.7109375" style="368" customWidth="1"/>
    <col min="20" max="20" width="35.7109375" style="24" customWidth="1"/>
    <col min="21" max="21" width="0.140625" style="24" customWidth="1"/>
    <col min="22" max="24" width="24.7109375" style="24" hidden="1" customWidth="1"/>
    <col min="25" max="25" width="11.7109375" style="24" hidden="1" customWidth="1"/>
    <col min="26" max="26" width="3.7109375" style="24" hidden="1" customWidth="1"/>
    <col min="27" max="27" width="11.7109375" style="24" hidden="1" customWidth="1"/>
    <col min="28" max="28" width="8.5703125" style="24" hidden="1" customWidth="1"/>
    <col min="29" max="31" width="24.7109375" style="24" customWidth="1"/>
    <col min="32" max="32" width="11.7109375" style="24" customWidth="1"/>
    <col min="33" max="33" width="3.7109375" style="24" customWidth="1"/>
    <col min="34" max="34" width="11.7109375" style="24" customWidth="1"/>
    <col min="35" max="35" width="8.5703125" style="24" hidden="1" customWidth="1"/>
    <col min="36" max="36" width="4.7109375" style="24" customWidth="1"/>
    <col min="37" max="37" width="115.7109375" style="24" customWidth="1"/>
    <col min="38" max="39" width="10.5703125" style="77"/>
    <col min="40" max="40" width="11.140625" style="77" customWidth="1"/>
    <col min="41" max="42" width="10.5703125" style="77"/>
  </cols>
  <sheetData>
    <row r="1" spans="1:42" ht="14.25" hidden="1" customHeight="1"/>
    <row r="2" spans="1:42" ht="23.25" hidden="1" customHeight="1">
      <c r="A2" s="822"/>
      <c r="B2" s="822"/>
      <c r="C2" s="822"/>
      <c r="D2" s="822"/>
      <c r="E2" s="1337">
        <v>1</v>
      </c>
      <c r="F2" s="822"/>
      <c r="G2" s="822"/>
      <c r="H2" s="822"/>
      <c r="I2" s="822"/>
      <c r="J2" s="822"/>
      <c r="K2" s="822"/>
      <c r="L2" s="823"/>
      <c r="M2" s="452"/>
      <c r="N2" s="452"/>
      <c r="O2" s="452"/>
      <c r="Q2" s="43"/>
      <c r="R2" s="220"/>
      <c r="S2" s="755" t="e">
        <f>INDEX(PT_DIFFERENTIATION_NUM_NTAR,MATCH(A2,PT_DIFFERENTIATION_NTAR_ID,0))</f>
        <v>#N/A</v>
      </c>
      <c r="T2" s="76" t="s">
        <v>124</v>
      </c>
      <c r="U2" s="179"/>
      <c r="V2" s="1331"/>
      <c r="W2" s="1332"/>
      <c r="X2" s="1332"/>
      <c r="Y2" s="1332"/>
      <c r="Z2" s="1332"/>
      <c r="AA2" s="1332"/>
      <c r="AB2" s="1333"/>
      <c r="AC2" s="1331" t="e">
        <f>INDEX(PT_DIFFERENTIATION_NTAR,MATCH(A2,PT_DIFFERENTIATION_NTAR_ID,0))</f>
        <v>#N/A</v>
      </c>
      <c r="AD2" s="1332"/>
      <c r="AE2" s="1332"/>
      <c r="AF2" s="1332"/>
      <c r="AG2" s="1332"/>
      <c r="AH2" s="1332"/>
      <c r="AI2" s="1332"/>
      <c r="AJ2" s="1333"/>
      <c r="AK2" s="7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9"/>
      <c r="AN2" s="79" t="str">
        <f t="shared" ref="AN2:AN13" si="0">IF(T2="","",T2)</f>
        <v>Наименование тарифа</v>
      </c>
      <c r="AO2" s="79"/>
      <c r="AP2" s="79"/>
    </row>
    <row r="3" spans="1:42" ht="23.25" hidden="1" customHeight="1">
      <c r="A3" s="822"/>
      <c r="B3" s="822"/>
      <c r="C3" s="822"/>
      <c r="D3" s="822"/>
      <c r="E3" s="1338"/>
      <c r="F3" s="1337">
        <v>1</v>
      </c>
      <c r="G3" s="822"/>
      <c r="H3" s="822"/>
      <c r="I3" s="822"/>
      <c r="J3" s="822"/>
      <c r="K3" s="822"/>
      <c r="L3" s="823"/>
      <c r="M3" s="452"/>
      <c r="N3" s="452"/>
      <c r="O3" s="452"/>
      <c r="P3" s="68"/>
      <c r="Q3" s="217"/>
      <c r="R3" s="218"/>
      <c r="S3" s="755" t="e">
        <f>INDEX(PT_DIFFERENTIATION_NUM_TER,MATCH(B3,PT_DIFFERENTIATION_TER_ID,0))</f>
        <v>#N/A</v>
      </c>
      <c r="T3" s="187" t="s">
        <v>1462</v>
      </c>
      <c r="U3" s="179"/>
      <c r="V3" s="1331"/>
      <c r="W3" s="1332"/>
      <c r="X3" s="1332"/>
      <c r="Y3" s="1332"/>
      <c r="Z3" s="1332"/>
      <c r="AA3" s="1332"/>
      <c r="AB3" s="1333"/>
      <c r="AC3" s="1331" t="e">
        <f>INDEX(PT_DIFFERENTIATION_TER,MATCH(B3,PT_DIFFERENTIATION_TER_ID,0))</f>
        <v>#N/A</v>
      </c>
      <c r="AD3" s="1332"/>
      <c r="AE3" s="1332"/>
      <c r="AF3" s="1332"/>
      <c r="AG3" s="1332"/>
      <c r="AH3" s="1332"/>
      <c r="AI3" s="1332"/>
      <c r="AJ3" s="1333"/>
      <c r="AK3" s="782" t="s">
        <v>1463</v>
      </c>
      <c r="AM3" s="79"/>
      <c r="AN3" s="79" t="str">
        <f t="shared" si="0"/>
        <v>Территория действия тарифа</v>
      </c>
      <c r="AO3" s="79"/>
      <c r="AP3" s="79"/>
    </row>
    <row r="4" spans="1:42" ht="23.25" hidden="1" customHeight="1">
      <c r="A4" s="822"/>
      <c r="B4" s="822"/>
      <c r="C4" s="822"/>
      <c r="D4" s="822"/>
      <c r="E4" s="1338"/>
      <c r="F4" s="1338"/>
      <c r="G4" s="1337">
        <v>1</v>
      </c>
      <c r="H4" s="822"/>
      <c r="I4" s="822"/>
      <c r="J4" s="822"/>
      <c r="K4" s="822"/>
      <c r="L4" s="823"/>
      <c r="M4" s="452"/>
      <c r="N4" s="452"/>
      <c r="O4" s="452"/>
      <c r="P4" s="219"/>
      <c r="Q4" s="217"/>
      <c r="R4" s="218"/>
      <c r="S4" s="755" t="e">
        <f>INDEX(PT_DIFFERENTIATION_NUM_CS,MATCH(C4,PT_DIFFERENTIATION_CS_ID,0))</f>
        <v>#N/A</v>
      </c>
      <c r="T4" s="188" t="s">
        <v>2090</v>
      </c>
      <c r="U4" s="179"/>
      <c r="V4" s="1331"/>
      <c r="W4" s="1332"/>
      <c r="X4" s="1332"/>
      <c r="Y4" s="1332"/>
      <c r="Z4" s="1332"/>
      <c r="AA4" s="1332"/>
      <c r="AB4" s="1333"/>
      <c r="AC4" s="1331" t="e">
        <f>INDEX(PT_DIFFERENTIATION_CS,MATCH(C4,PT_DIFFERENTIATION_CS_ID,0))</f>
        <v>#N/A</v>
      </c>
      <c r="AD4" s="1332"/>
      <c r="AE4" s="1332"/>
      <c r="AF4" s="1332"/>
      <c r="AG4" s="1332"/>
      <c r="AH4" s="1332"/>
      <c r="AI4" s="1332"/>
      <c r="AJ4" s="1333"/>
      <c r="AK4" s="782" t="s">
        <v>2091</v>
      </c>
      <c r="AM4" s="79"/>
      <c r="AN4" s="79" t="str">
        <f t="shared" si="0"/>
        <v>Наименование централизованной системы горячего водоснабжения</v>
      </c>
      <c r="AO4" s="79"/>
      <c r="AP4" s="79"/>
    </row>
    <row r="5" spans="1:42" ht="23.25" hidden="1" customHeight="1">
      <c r="A5" s="822"/>
      <c r="B5" s="822"/>
      <c r="C5" s="822"/>
      <c r="D5" s="822"/>
      <c r="E5" s="1338"/>
      <c r="F5" s="1338"/>
      <c r="G5" s="1338"/>
      <c r="H5" s="1338"/>
      <c r="I5" s="1339" t="e">
        <f>S4&amp;".1"</f>
        <v>#N/A</v>
      </c>
      <c r="J5" s="822"/>
      <c r="K5" s="822"/>
      <c r="L5" s="823"/>
      <c r="P5" s="1259">
        <v>1</v>
      </c>
      <c r="Q5" s="127"/>
      <c r="R5" s="221"/>
      <c r="S5" s="755" t="e">
        <f>$I5</f>
        <v>#N/A</v>
      </c>
      <c r="T5" s="172" t="s">
        <v>1683</v>
      </c>
      <c r="U5" s="179"/>
      <c r="V5" s="1429"/>
      <c r="W5" s="1430"/>
      <c r="X5" s="1430"/>
      <c r="Y5" s="1430"/>
      <c r="Z5" s="1430"/>
      <c r="AA5" s="1430"/>
      <c r="AB5" s="1431"/>
      <c r="AC5" s="1432"/>
      <c r="AD5" s="1433"/>
      <c r="AE5" s="1433"/>
      <c r="AF5" s="1433"/>
      <c r="AG5" s="1433"/>
      <c r="AH5" s="1433"/>
      <c r="AI5" s="1433"/>
      <c r="AJ5" s="1434"/>
      <c r="AK5" s="782" t="s">
        <v>1684</v>
      </c>
      <c r="AM5" s="79"/>
      <c r="AN5" s="79" t="str">
        <f t="shared" si="0"/>
        <v>Наименование признака дифференциации</v>
      </c>
      <c r="AO5" s="79"/>
      <c r="AP5" s="79"/>
    </row>
    <row r="6" spans="1:42" ht="23.25" hidden="1" customHeight="1">
      <c r="A6" s="822"/>
      <c r="B6" s="822"/>
      <c r="C6" s="822"/>
      <c r="D6" s="822"/>
      <c r="E6" s="1338"/>
      <c r="F6" s="1338"/>
      <c r="G6" s="1338"/>
      <c r="H6" s="1338"/>
      <c r="I6" s="1340"/>
      <c r="J6" s="1339" t="e">
        <f>I5&amp;".1"</f>
        <v>#N/A</v>
      </c>
      <c r="K6" s="822"/>
      <c r="L6" s="823" t="s">
        <v>1471</v>
      </c>
      <c r="P6" s="1259"/>
      <c r="Q6" s="1259">
        <v>1</v>
      </c>
      <c r="R6" s="222"/>
      <c r="S6" s="755" t="e">
        <f>$J6</f>
        <v>#N/A</v>
      </c>
      <c r="T6" s="173" t="s">
        <v>1472</v>
      </c>
      <c r="U6" s="179"/>
      <c r="V6" s="1326"/>
      <c r="W6" s="1327"/>
      <c r="X6" s="1327"/>
      <c r="Y6" s="1327"/>
      <c r="Z6" s="1327"/>
      <c r="AA6" s="1327"/>
      <c r="AB6" s="1328"/>
      <c r="AC6" s="1326"/>
      <c r="AD6" s="1327"/>
      <c r="AE6" s="1327"/>
      <c r="AF6" s="1327"/>
      <c r="AG6" s="1327"/>
      <c r="AH6" s="1327"/>
      <c r="AI6" s="1327"/>
      <c r="AJ6" s="1328"/>
      <c r="AK6" s="809" t="s">
        <v>1685</v>
      </c>
      <c r="AM6" s="79"/>
      <c r="AN6" s="79" t="str">
        <f t="shared" si="0"/>
        <v>Группа потребителей</v>
      </c>
      <c r="AO6" s="79"/>
      <c r="AP6" s="79"/>
    </row>
    <row r="7" spans="1:42" ht="23.25" hidden="1" customHeight="1">
      <c r="A7" s="822"/>
      <c r="B7" s="822"/>
      <c r="C7" s="822"/>
      <c r="D7" s="822"/>
      <c r="E7" s="1338"/>
      <c r="F7" s="1338"/>
      <c r="G7" s="1338"/>
      <c r="H7" s="1338"/>
      <c r="I7" s="1340"/>
      <c r="J7" s="1340"/>
      <c r="K7" s="1339" t="e">
        <f>J6&amp;".1"</f>
        <v>#N/A</v>
      </c>
      <c r="L7" s="823"/>
      <c r="P7" s="1259"/>
      <c r="Q7" s="1259"/>
      <c r="R7" s="222">
        <v>1</v>
      </c>
      <c r="S7" s="755" t="e">
        <f>$K7</f>
        <v>#N/A</v>
      </c>
      <c r="T7" s="853"/>
      <c r="U7" s="179"/>
      <c r="V7" s="1054"/>
      <c r="W7" s="1054"/>
      <c r="X7" s="1056"/>
      <c r="Y7" s="1341"/>
      <c r="Z7" s="1133" t="s">
        <v>67</v>
      </c>
      <c r="AA7" s="1341"/>
      <c r="AB7" s="1133" t="s">
        <v>67</v>
      </c>
      <c r="AC7" s="1054"/>
      <c r="AD7" s="1054"/>
      <c r="AE7" s="1056"/>
      <c r="AF7" s="1341"/>
      <c r="AG7" s="1133" t="s">
        <v>67</v>
      </c>
      <c r="AH7" s="1343"/>
      <c r="AI7" s="1133" t="s">
        <v>67</v>
      </c>
      <c r="AJ7" s="1082"/>
      <c r="AK7" s="143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7" t="e">
        <f ca="1">STRCHECKDATE(V8:AJ8)</f>
        <v>#NAME?</v>
      </c>
      <c r="AM7" s="79"/>
      <c r="AN7" s="79" t="str">
        <f t="shared" si="0"/>
        <v/>
      </c>
      <c r="AO7" s="79"/>
      <c r="AP7" s="79"/>
    </row>
    <row r="8" spans="1:42" ht="0.75" hidden="1" customHeight="1">
      <c r="A8" s="822"/>
      <c r="B8" s="822"/>
      <c r="C8" s="822"/>
      <c r="D8" s="822"/>
      <c r="E8" s="1338"/>
      <c r="F8" s="1338"/>
      <c r="G8" s="1338"/>
      <c r="H8" s="1338"/>
      <c r="I8" s="1340"/>
      <c r="J8" s="1340"/>
      <c r="K8" s="1339"/>
      <c r="L8" s="823"/>
      <c r="P8" s="1259"/>
      <c r="Q8" s="1259"/>
      <c r="R8" s="222"/>
      <c r="S8" s="74"/>
      <c r="T8" s="179"/>
      <c r="U8" s="179"/>
      <c r="V8" s="1055"/>
      <c r="W8" s="1055"/>
      <c r="X8" s="1057" t="str">
        <f>Y7&amp;"-"&amp;AA7</f>
        <v>-</v>
      </c>
      <c r="Y8" s="1342"/>
      <c r="Z8" s="1133"/>
      <c r="AA8" s="1342"/>
      <c r="AB8" s="1133"/>
      <c r="AC8" s="1055"/>
      <c r="AD8" s="1055"/>
      <c r="AE8" s="1057" t="str">
        <f>AF7&amp;"-"&amp;AH7</f>
        <v>-</v>
      </c>
      <c r="AF8" s="1342"/>
      <c r="AG8" s="1133"/>
      <c r="AH8" s="1344"/>
      <c r="AI8" s="1133"/>
      <c r="AJ8" s="1083"/>
      <c r="AK8" s="1435"/>
      <c r="AM8" s="79"/>
      <c r="AN8" s="79" t="str">
        <f t="shared" si="0"/>
        <v/>
      </c>
      <c r="AO8" s="79"/>
      <c r="AP8" s="79"/>
    </row>
    <row r="9" spans="1:42" ht="21" hidden="1" customHeight="1">
      <c r="A9" s="822"/>
      <c r="B9" s="822"/>
      <c r="C9" s="822"/>
      <c r="D9" s="822"/>
      <c r="E9" s="1338"/>
      <c r="F9" s="1338"/>
      <c r="G9" s="1338"/>
      <c r="H9" s="1338"/>
      <c r="I9" s="1340"/>
      <c r="J9" s="1339"/>
      <c r="K9" s="822"/>
      <c r="L9" s="823"/>
      <c r="P9" s="1259"/>
      <c r="Q9" s="1259"/>
      <c r="R9" s="221"/>
      <c r="S9" s="796"/>
      <c r="T9" s="174" t="s">
        <v>1686</v>
      </c>
      <c r="U9" s="228"/>
      <c r="V9" s="228"/>
      <c r="W9" s="228"/>
      <c r="X9" s="228"/>
      <c r="Y9" s="228"/>
      <c r="Z9" s="228"/>
      <c r="AA9" s="228"/>
      <c r="AB9" s="228"/>
      <c r="AC9" s="228"/>
      <c r="AD9" s="228"/>
      <c r="AE9" s="228"/>
      <c r="AF9" s="228"/>
      <c r="AG9" s="228"/>
      <c r="AH9" s="228"/>
      <c r="AI9" s="228"/>
      <c r="AJ9" s="228"/>
      <c r="AK9" s="782" t="s">
        <v>1687</v>
      </c>
      <c r="AM9" s="79"/>
      <c r="AN9" s="79" t="str">
        <f t="shared" si="0"/>
        <v>Добавить значение признака дифференциации</v>
      </c>
      <c r="AO9" s="79"/>
      <c r="AP9" s="79"/>
    </row>
    <row r="10" spans="1:42" ht="21" hidden="1" customHeight="1">
      <c r="A10" s="822"/>
      <c r="B10" s="822"/>
      <c r="C10" s="822"/>
      <c r="D10" s="822"/>
      <c r="E10" s="1338"/>
      <c r="F10" s="1338"/>
      <c r="G10" s="1338"/>
      <c r="H10" s="1338"/>
      <c r="I10" s="1339"/>
      <c r="J10" s="822"/>
      <c r="K10" s="822"/>
      <c r="L10" s="823"/>
      <c r="P10" s="1259"/>
      <c r="Q10" s="127"/>
      <c r="R10" s="221"/>
      <c r="S10" s="796"/>
      <c r="T10" s="226" t="s">
        <v>1477</v>
      </c>
      <c r="U10" s="228"/>
      <c r="V10" s="228"/>
      <c r="W10" s="228"/>
      <c r="X10" s="228"/>
      <c r="Y10" s="228"/>
      <c r="Z10" s="228"/>
      <c r="AA10" s="228"/>
      <c r="AB10" s="205"/>
      <c r="AC10" s="228"/>
      <c r="AD10" s="228"/>
      <c r="AE10" s="228"/>
      <c r="AF10" s="228"/>
      <c r="AG10" s="228"/>
      <c r="AH10" s="228"/>
      <c r="AI10" s="205"/>
      <c r="AJ10" s="228"/>
      <c r="AK10" s="854"/>
      <c r="AM10" s="79"/>
      <c r="AN10" s="79" t="str">
        <f t="shared" si="0"/>
        <v>Добавить группу потребителей</v>
      </c>
      <c r="AO10" s="79"/>
      <c r="AP10" s="79"/>
    </row>
    <row r="11" spans="1:42" ht="21" hidden="1" customHeight="1">
      <c r="A11" s="822"/>
      <c r="B11" s="822"/>
      <c r="C11" s="822"/>
      <c r="D11" s="822"/>
      <c r="E11" s="1338"/>
      <c r="F11" s="1338"/>
      <c r="G11" s="1338"/>
      <c r="H11" s="1337"/>
      <c r="I11" s="822"/>
      <c r="J11" s="822"/>
      <c r="K11" s="822"/>
      <c r="L11" s="823"/>
      <c r="M11" s="452"/>
      <c r="N11" s="452"/>
      <c r="O11" s="72"/>
      <c r="P11" s="43"/>
      <c r="Q11" s="231"/>
      <c r="R11" s="220"/>
      <c r="S11" s="796"/>
      <c r="T11" s="113" t="s">
        <v>1688</v>
      </c>
      <c r="U11" s="228"/>
      <c r="V11" s="228"/>
      <c r="W11" s="228"/>
      <c r="X11" s="228"/>
      <c r="Y11" s="228"/>
      <c r="Z11" s="228"/>
      <c r="AA11" s="228"/>
      <c r="AB11" s="205"/>
      <c r="AC11" s="228"/>
      <c r="AD11" s="228"/>
      <c r="AE11" s="228"/>
      <c r="AF11" s="228"/>
      <c r="AG11" s="228"/>
      <c r="AH11" s="228"/>
      <c r="AI11" s="205"/>
      <c r="AJ11" s="228"/>
      <c r="AK11" s="182"/>
      <c r="AM11" s="79"/>
      <c r="AN11" s="79" t="str">
        <f t="shared" si="0"/>
        <v>Добавить наименование признака дифференциации</v>
      </c>
      <c r="AO11" s="79"/>
      <c r="AP11" s="79"/>
    </row>
    <row r="12" spans="1:42" s="77" customFormat="1" ht="0.75" hidden="1" customHeight="1">
      <c r="A12" s="150"/>
      <c r="B12" s="150"/>
      <c r="C12" s="150"/>
      <c r="D12" s="150"/>
      <c r="E12" s="1338"/>
      <c r="F12" s="1337"/>
      <c r="G12" s="150"/>
      <c r="H12" s="150"/>
      <c r="I12" s="150"/>
      <c r="J12" s="150"/>
      <c r="K12" s="150"/>
      <c r="L12" s="373"/>
      <c r="M12" s="815"/>
      <c r="N12" s="815"/>
      <c r="P12" s="111"/>
      <c r="Q12" s="811"/>
      <c r="R12" s="111"/>
      <c r="S12" s="816"/>
      <c r="T12" s="818" t="s">
        <v>1438</v>
      </c>
      <c r="U12" s="338"/>
      <c r="V12" s="338"/>
      <c r="W12" s="338"/>
      <c r="X12" s="338"/>
      <c r="Y12" s="338"/>
      <c r="Z12" s="338"/>
      <c r="AA12" s="338"/>
      <c r="AB12" s="338"/>
      <c r="AC12" s="338"/>
      <c r="AD12" s="338"/>
      <c r="AE12" s="338"/>
      <c r="AF12" s="338"/>
      <c r="AG12" s="338"/>
      <c r="AH12" s="338"/>
      <c r="AI12" s="338"/>
      <c r="AJ12" s="338"/>
      <c r="AK12" s="338"/>
      <c r="AM12" s="79"/>
      <c r="AN12" s="79" t="str">
        <f t="shared" si="0"/>
        <v>Добавить централизованную систему для дифференциации</v>
      </c>
      <c r="AO12" s="79"/>
      <c r="AP12" s="79"/>
    </row>
    <row r="13" spans="1:42" s="77" customFormat="1" ht="0.75" hidden="1" customHeight="1">
      <c r="A13" s="150"/>
      <c r="B13" s="150"/>
      <c r="C13" s="150"/>
      <c r="D13" s="150"/>
      <c r="E13" s="1337"/>
      <c r="F13" s="150"/>
      <c r="G13" s="150"/>
      <c r="H13" s="150"/>
      <c r="I13" s="150"/>
      <c r="J13" s="150"/>
      <c r="K13" s="150"/>
      <c r="L13" s="373"/>
      <c r="M13" s="815"/>
      <c r="N13" s="815"/>
      <c r="P13" s="111"/>
      <c r="Q13" s="811"/>
      <c r="R13" s="111"/>
      <c r="S13" s="816"/>
      <c r="T13" s="818" t="s">
        <v>1439</v>
      </c>
      <c r="U13" s="338"/>
      <c r="V13" s="338"/>
      <c r="W13" s="338"/>
      <c r="X13" s="338"/>
      <c r="Y13" s="338"/>
      <c r="Z13" s="338"/>
      <c r="AA13" s="338"/>
      <c r="AB13" s="338"/>
      <c r="AC13" s="338"/>
      <c r="AD13" s="338"/>
      <c r="AE13" s="338"/>
      <c r="AF13" s="338"/>
      <c r="AG13" s="338"/>
      <c r="AH13" s="338"/>
      <c r="AI13" s="338"/>
      <c r="AJ13" s="338"/>
      <c r="AK13" s="338"/>
      <c r="AM13" s="79"/>
      <c r="AN13" s="79" t="str">
        <f t="shared" si="0"/>
        <v>Добавить территорию для дифференциации</v>
      </c>
      <c r="AO13" s="79"/>
      <c r="AP13" s="79"/>
    </row>
    <row r="14" spans="1:42" ht="14.25" hidden="1" customHeight="1"/>
    <row r="15" spans="1:42" ht="14.25" hidden="1" customHeight="1">
      <c r="AC15" s="1058"/>
      <c r="AD15" s="1058"/>
      <c r="AE15" s="1059"/>
      <c r="AF15" s="1335"/>
      <c r="AG15" s="1334" t="s">
        <v>67</v>
      </c>
      <c r="AH15" s="1335"/>
      <c r="AI15" s="1334" t="s">
        <v>67</v>
      </c>
    </row>
    <row r="16" spans="1:42" ht="14.25" hidden="1" customHeight="1">
      <c r="AC16" s="1058"/>
      <c r="AD16" s="1058"/>
      <c r="AE16" s="1057" t="str">
        <f>AF15&amp;"-"&amp;AH15</f>
        <v>-</v>
      </c>
      <c r="AF16" s="1334"/>
      <c r="AG16" s="1334"/>
      <c r="AH16" s="1334"/>
      <c r="AI16" s="1334"/>
    </row>
    <row r="17" spans="1:42" ht="14.25" hidden="1" customHeight="1"/>
    <row r="18" spans="1:42" s="72" customFormat="1" ht="14.25" hidden="1" customHeight="1">
      <c r="L18" s="388"/>
      <c r="M18" s="541"/>
      <c r="N18" s="541"/>
      <c r="O18" s="824" t="s">
        <v>1479</v>
      </c>
      <c r="P18" s="541"/>
      <c r="Q18" s="825"/>
      <c r="R18" s="825"/>
      <c r="S18" s="452"/>
      <c r="Y18" s="824"/>
      <c r="AA18" s="824"/>
      <c r="AF18" s="824"/>
      <c r="AH18" s="824"/>
      <c r="AL18" s="77"/>
      <c r="AM18" s="77"/>
      <c r="AN18" s="77"/>
      <c r="AO18" s="77"/>
      <c r="AP18" s="77"/>
    </row>
    <row r="19" spans="1:42" s="72" customFormat="1" ht="14.25" hidden="1" customHeight="1">
      <c r="L19" s="388"/>
      <c r="M19" s="541"/>
      <c r="N19" s="541"/>
      <c r="O19" s="541"/>
      <c r="P19" s="541"/>
      <c r="Q19" s="825"/>
      <c r="R19" s="825"/>
      <c r="S19" s="452"/>
      <c r="AL19" s="77"/>
      <c r="AM19" s="77"/>
      <c r="AN19" s="77"/>
      <c r="AO19" s="77"/>
      <c r="AP19" s="77"/>
    </row>
    <row r="20" spans="1:42" s="72" customFormat="1" ht="12" hidden="1" customHeight="1">
      <c r="L20" s="388"/>
      <c r="M20" s="541"/>
      <c r="N20" s="541"/>
      <c r="O20" s="823" t="s">
        <v>1480</v>
      </c>
      <c r="P20" s="541"/>
      <c r="Q20" s="855"/>
      <c r="R20" s="855"/>
      <c r="S20" s="452"/>
      <c r="T20" s="72" t="s">
        <v>1481</v>
      </c>
      <c r="Z20" s="91" t="s">
        <v>1482</v>
      </c>
      <c r="AB20" s="91" t="s">
        <v>1483</v>
      </c>
      <c r="AC20" s="72" t="s">
        <v>1481</v>
      </c>
      <c r="AG20" s="91" t="s">
        <v>1484</v>
      </c>
      <c r="AI20" s="91" t="s">
        <v>1483</v>
      </c>
    </row>
    <row r="21" spans="1:42" ht="14.25" hidden="1" customHeight="1">
      <c r="O21" s="823"/>
    </row>
    <row r="22" spans="1:42" ht="14.25" hidden="1" customHeight="1">
      <c r="O22" s="823"/>
    </row>
    <row r="23" spans="1:42" ht="14.25" customHeight="1">
      <c r="Q23" s="36"/>
      <c r="R23" s="36"/>
      <c r="S23" s="793"/>
      <c r="T23" s="25"/>
      <c r="U23" s="25"/>
    </row>
    <row r="24" spans="1:42" ht="32.25" customHeight="1">
      <c r="Q24" s="36"/>
      <c r="R24" s="36"/>
      <c r="S24" s="1181" t="str">
        <f>IF(TEMPLATE_GROUP="P",PT_P_FORM_HOTVSNA_4_NAME_FORM,PT_R_FORM_HOTVSNA_16_NAME_FORM)</f>
        <v>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v>
      </c>
      <c r="T24" s="1181"/>
      <c r="U24" s="1181"/>
      <c r="V24" s="1181"/>
      <c r="W24" s="1181"/>
      <c r="X24" s="1181"/>
      <c r="Y24" s="1181"/>
      <c r="Z24" s="1181"/>
      <c r="AA24" s="1181"/>
      <c r="AB24" s="1181"/>
      <c r="AC24" s="1181"/>
      <c r="AD24" s="1181"/>
      <c r="AE24" s="1181"/>
      <c r="AF24" s="1181"/>
      <c r="AG24" s="1181"/>
      <c r="AH24" s="1181"/>
      <c r="AI24" s="69"/>
    </row>
    <row r="25" spans="1:42" ht="14.25" customHeight="1">
      <c r="Q25" s="36"/>
      <c r="R25" s="36"/>
      <c r="S25" s="1204" t="str">
        <f>IF(org=0,"Не определено",org)</f>
        <v>ООО "ТЕПЛО ПЛЮС"</v>
      </c>
      <c r="T25" s="1204"/>
      <c r="U25" s="1204"/>
      <c r="V25" s="1204"/>
      <c r="W25" s="1204"/>
      <c r="X25" s="1204"/>
      <c r="Y25" s="1204"/>
      <c r="Z25" s="1204"/>
      <c r="AA25" s="1204"/>
      <c r="AB25" s="1204"/>
      <c r="AC25" s="1204"/>
      <c r="AD25" s="1204"/>
      <c r="AE25" s="1204"/>
      <c r="AF25" s="1204"/>
      <c r="AG25" s="1204"/>
      <c r="AH25" s="1204"/>
      <c r="AI25" s="69"/>
    </row>
    <row r="26" spans="1:42" ht="14.25" hidden="1" customHeight="1">
      <c r="Q26" s="36"/>
      <c r="R26" s="36"/>
      <c r="S26" s="793"/>
      <c r="T26" s="25"/>
      <c r="U26" s="25"/>
      <c r="V26" s="202"/>
      <c r="W26" s="202"/>
      <c r="X26" s="202"/>
      <c r="Y26" s="202"/>
      <c r="Z26" s="202"/>
      <c r="AA26" s="202"/>
      <c r="AB26" s="202"/>
      <c r="AC26" s="202"/>
      <c r="AD26" s="202"/>
      <c r="AE26" s="202"/>
      <c r="AF26" s="202"/>
      <c r="AG26" s="202"/>
      <c r="AH26" s="202"/>
      <c r="AI26" s="202"/>
    </row>
    <row r="27" spans="1:42" s="44" customFormat="1" ht="25.5" hidden="1" customHeight="1">
      <c r="A27" s="91"/>
      <c r="B27" s="91"/>
      <c r="C27" s="91"/>
      <c r="D27" s="91"/>
      <c r="E27" s="91"/>
      <c r="F27" s="91"/>
      <c r="G27" s="91"/>
      <c r="H27" s="91"/>
      <c r="I27" s="91"/>
      <c r="J27" s="91"/>
      <c r="K27" s="91"/>
      <c r="L27" s="823"/>
      <c r="M27" s="91"/>
      <c r="N27" s="91"/>
      <c r="O27" s="91"/>
      <c r="S27" s="1329" t="s">
        <v>39</v>
      </c>
      <c r="T27" s="1329"/>
      <c r="U27" s="826"/>
      <c r="V27" s="1330" t="str">
        <f>IF(TITLE_NAME_OR_PR_CHANGE="",IF(TITLE_NAME_OR_PR="","",TITLE_NAME_OR_PR),TITLE_NAME_OR_PR_CHANGE)</f>
        <v/>
      </c>
      <c r="W27" s="1330"/>
      <c r="X27" s="1330"/>
      <c r="Y27" s="1330"/>
      <c r="Z27" s="1330"/>
      <c r="AA27" s="1330"/>
      <c r="AB27" s="24"/>
      <c r="AC27" s="1330" t="str">
        <f>IF(TITLE_NAME_OR_PR_CHANGE="",IF(TITLE_NAME_OR_PR="","",TITLE_NAME_OR_PR),TITLE_NAME_OR_PR_CHANGE)</f>
        <v/>
      </c>
      <c r="AD27" s="1330"/>
      <c r="AE27" s="1330"/>
      <c r="AF27" s="1330"/>
      <c r="AG27" s="1330"/>
      <c r="AH27" s="1330"/>
      <c r="AI27" s="24"/>
      <c r="AJ27" s="24"/>
      <c r="AK27" s="171"/>
      <c r="AL27" s="79"/>
      <c r="AM27" s="79"/>
      <c r="AN27" s="79"/>
      <c r="AO27" s="79"/>
      <c r="AP27" s="79"/>
    </row>
    <row r="28" spans="1:42" s="44" customFormat="1" ht="18.75" hidden="1" customHeight="1">
      <c r="A28" s="91"/>
      <c r="B28" s="91"/>
      <c r="C28" s="91"/>
      <c r="D28" s="91"/>
      <c r="E28" s="91"/>
      <c r="F28" s="91"/>
      <c r="G28" s="91"/>
      <c r="H28" s="91"/>
      <c r="I28" s="91"/>
      <c r="J28" s="91"/>
      <c r="K28" s="91"/>
      <c r="L28" s="823"/>
      <c r="M28" s="91"/>
      <c r="N28" s="91"/>
      <c r="O28" s="91"/>
      <c r="S28" s="1329" t="s">
        <v>1485</v>
      </c>
      <c r="T28" s="1329"/>
      <c r="U28" s="826"/>
      <c r="V28" s="1330" t="str">
        <f>IF(TITLE_DATE_CHANGE_PERIOD="",IF(TITLE_DATE_PR="","",TITLE_DATE_PR),TITLE_DATE_CHANGE_PERIOD)</f>
        <v/>
      </c>
      <c r="W28" s="1330"/>
      <c r="X28" s="1330"/>
      <c r="Y28" s="1330"/>
      <c r="Z28" s="1330"/>
      <c r="AA28" s="1330"/>
      <c r="AB28" s="24"/>
      <c r="AC28" s="1330" t="str">
        <f>IF(TITLE_DATE_CHANGE_PERIOD="",IF(TITLE_DATE_PR="","",TITLE_DATE_PR),TITLE_DATE_CHANGE_PERIOD)</f>
        <v/>
      </c>
      <c r="AD28" s="1330"/>
      <c r="AE28" s="1330"/>
      <c r="AF28" s="1330"/>
      <c r="AG28" s="1330"/>
      <c r="AH28" s="1330"/>
      <c r="AI28" s="24"/>
      <c r="AJ28" s="24"/>
      <c r="AK28" s="171"/>
      <c r="AL28" s="79"/>
      <c r="AM28" s="79"/>
      <c r="AN28" s="79"/>
      <c r="AO28" s="79"/>
      <c r="AP28" s="79"/>
    </row>
    <row r="29" spans="1:42" s="44" customFormat="1" ht="18.75" hidden="1" customHeight="1">
      <c r="A29" s="91"/>
      <c r="B29" s="91"/>
      <c r="C29" s="91"/>
      <c r="D29" s="91"/>
      <c r="E29" s="91"/>
      <c r="F29" s="91"/>
      <c r="G29" s="91"/>
      <c r="H29" s="91"/>
      <c r="I29" s="91"/>
      <c r="J29" s="91"/>
      <c r="K29" s="91"/>
      <c r="L29" s="823"/>
      <c r="M29" s="91"/>
      <c r="N29" s="91"/>
      <c r="O29" s="91"/>
      <c r="S29" s="1329" t="s">
        <v>1486</v>
      </c>
      <c r="T29" s="1329"/>
      <c r="U29" s="826"/>
      <c r="V29" s="1330" t="str">
        <f>IF(TITLE_NUMBER_PR_CHANGE="",IF(TITLE_NUMBER_PR="","",TITLE_NUMBER_PR),TITLE_NUMBER_PR_CHANGE)</f>
        <v/>
      </c>
      <c r="W29" s="1330"/>
      <c r="X29" s="1330"/>
      <c r="Y29" s="1330"/>
      <c r="Z29" s="1330"/>
      <c r="AA29" s="1330"/>
      <c r="AB29" s="24"/>
      <c r="AC29" s="1330" t="str">
        <f>IF(TITLE_NUMBER_PR_CHANGE="",IF(TITLE_NUMBER_PR="","",TITLE_NUMBER_PR),TITLE_NUMBER_PR_CHANGE)</f>
        <v/>
      </c>
      <c r="AD29" s="1330"/>
      <c r="AE29" s="1330"/>
      <c r="AF29" s="1330"/>
      <c r="AG29" s="1330"/>
      <c r="AH29" s="1330"/>
      <c r="AI29" s="24"/>
      <c r="AJ29" s="24"/>
      <c r="AK29" s="171"/>
      <c r="AL29" s="79"/>
      <c r="AM29" s="79"/>
      <c r="AN29" s="79"/>
      <c r="AO29" s="79"/>
      <c r="AP29" s="79"/>
    </row>
    <row r="30" spans="1:42" s="44" customFormat="1" ht="18.75" hidden="1" customHeight="1">
      <c r="A30" s="91"/>
      <c r="B30" s="91"/>
      <c r="C30" s="91"/>
      <c r="D30" s="91"/>
      <c r="E30" s="91"/>
      <c r="F30" s="91"/>
      <c r="G30" s="91"/>
      <c r="H30" s="91"/>
      <c r="I30" s="91"/>
      <c r="J30" s="91"/>
      <c r="K30" s="91"/>
      <c r="L30" s="823"/>
      <c r="M30" s="91"/>
      <c r="N30" s="91"/>
      <c r="O30" s="91"/>
      <c r="S30" s="1329" t="s">
        <v>40</v>
      </c>
      <c r="T30" s="1329"/>
      <c r="U30" s="826"/>
      <c r="V30" s="1330" t="str">
        <f>IF(TITLE_IST_PUB_CHANGE="",IF(TITLE_IST_PUB="","",TITLE_IST_PUB),TITLE_IST_PUB_CHANGE)</f>
        <v/>
      </c>
      <c r="W30" s="1330"/>
      <c r="X30" s="1330"/>
      <c r="Y30" s="1330"/>
      <c r="Z30" s="1330"/>
      <c r="AA30" s="1330"/>
      <c r="AB30" s="24"/>
      <c r="AC30" s="1330" t="str">
        <f>IF(TITLE_IST_PUB_CHANGE="",IF(TITLE_IST_PUB="","",TITLE_IST_PUB),TITLE_IST_PUB_CHANGE)</f>
        <v/>
      </c>
      <c r="AD30" s="1330"/>
      <c r="AE30" s="1330"/>
      <c r="AF30" s="1330"/>
      <c r="AG30" s="1330"/>
      <c r="AH30" s="1330"/>
      <c r="AI30" s="24"/>
      <c r="AJ30" s="24"/>
      <c r="AK30" s="171"/>
      <c r="AL30" s="79"/>
      <c r="AM30" s="79"/>
      <c r="AN30" s="79"/>
      <c r="AO30" s="79"/>
      <c r="AP30" s="79"/>
    </row>
    <row r="31" spans="1:42" ht="14.25" hidden="1" customHeight="1">
      <c r="Q31" s="36"/>
      <c r="R31" s="36"/>
      <c r="S31" s="793"/>
      <c r="T31" s="25"/>
      <c r="U31" s="25"/>
      <c r="V31" s="202"/>
      <c r="W31" s="202"/>
      <c r="X31" s="202"/>
      <c r="Y31" s="202"/>
      <c r="Z31" s="202"/>
      <c r="AA31" s="202"/>
      <c r="AB31" s="202"/>
      <c r="AC31" s="202"/>
      <c r="AD31" s="202"/>
      <c r="AE31" s="202"/>
      <c r="AF31" s="202"/>
      <c r="AG31" s="202"/>
      <c r="AH31" s="202"/>
      <c r="AI31" s="202"/>
    </row>
    <row r="32" spans="1:42" s="44" customFormat="1" ht="18.75" hidden="1" customHeight="1">
      <c r="A32" s="91"/>
      <c r="B32" s="91"/>
      <c r="C32" s="91"/>
      <c r="D32" s="91"/>
      <c r="E32" s="91"/>
      <c r="F32" s="91"/>
      <c r="G32" s="91"/>
      <c r="H32" s="91"/>
      <c r="I32" s="91"/>
      <c r="J32" s="91"/>
      <c r="K32" s="91"/>
      <c r="L32" s="823"/>
      <c r="M32" s="91"/>
      <c r="N32" s="91"/>
      <c r="O32" s="91"/>
      <c r="S32" s="1329" t="s">
        <v>1487</v>
      </c>
      <c r="T32" s="1329"/>
      <c r="U32" s="826"/>
      <c r="V32" s="1330" t="str">
        <f>IF(TITLE_DATE_CHANGE_PERIOD="",IF(TITLE_DATE_PR="","",TITLE_DATE_PR),TITLE_DATE_CHANGE_PERIOD)</f>
        <v/>
      </c>
      <c r="W32" s="1330"/>
      <c r="X32" s="1330"/>
      <c r="Y32" s="1330"/>
      <c r="Z32" s="1330"/>
      <c r="AA32" s="1330"/>
      <c r="AB32" s="24"/>
      <c r="AC32" s="1330" t="str">
        <f>IF(TITLE_DATE_CHANGE_PERIOD="",IF(TITLE_DATE_PR="","",TITLE_DATE_PR),TITLE_DATE_CHANGE_PERIOD)</f>
        <v/>
      </c>
      <c r="AD32" s="1330"/>
      <c r="AE32" s="1330"/>
      <c r="AF32" s="1330"/>
      <c r="AG32" s="1330"/>
      <c r="AH32" s="1330"/>
      <c r="AI32" s="24"/>
      <c r="AJ32" s="24"/>
      <c r="AK32" s="171"/>
      <c r="AL32" s="79"/>
      <c r="AM32" s="79"/>
      <c r="AN32" s="79"/>
      <c r="AO32" s="79"/>
      <c r="AP32" s="79"/>
    </row>
    <row r="33" spans="1:42" s="44" customFormat="1" ht="18.75" hidden="1" customHeight="1">
      <c r="A33" s="91"/>
      <c r="B33" s="91"/>
      <c r="C33" s="91"/>
      <c r="D33" s="91"/>
      <c r="E33" s="91"/>
      <c r="F33" s="91"/>
      <c r="G33" s="91"/>
      <c r="H33" s="91"/>
      <c r="I33" s="91"/>
      <c r="J33" s="91"/>
      <c r="K33" s="91"/>
      <c r="L33" s="823"/>
      <c r="M33" s="91"/>
      <c r="N33" s="91"/>
      <c r="O33" s="91"/>
      <c r="S33" s="1329" t="s">
        <v>1488</v>
      </c>
      <c r="T33" s="1329"/>
      <c r="U33" s="826"/>
      <c r="V33" s="1330" t="str">
        <f>IF(TITLE_NUMBER_PR_CHANGE="",IF(TITLE_NUMBER_PR="","",TITLE_NUMBER_PR),TITLE_NUMBER_PR_CHANGE)</f>
        <v/>
      </c>
      <c r="W33" s="1330"/>
      <c r="X33" s="1330"/>
      <c r="Y33" s="1330"/>
      <c r="Z33" s="1330"/>
      <c r="AA33" s="1330"/>
      <c r="AB33" s="24"/>
      <c r="AC33" s="1330" t="str">
        <f>IF(TITLE_NUMBER_PR_CHANGE="",IF(TITLE_NUMBER_PR="","",TITLE_NUMBER_PR),TITLE_NUMBER_PR_CHANGE)</f>
        <v/>
      </c>
      <c r="AD33" s="1330"/>
      <c r="AE33" s="1330"/>
      <c r="AF33" s="1330"/>
      <c r="AG33" s="1330"/>
      <c r="AH33" s="1330"/>
      <c r="AI33" s="24"/>
      <c r="AJ33" s="24"/>
      <c r="AK33" s="171"/>
      <c r="AL33" s="79"/>
      <c r="AM33" s="79"/>
      <c r="AN33" s="79"/>
      <c r="AO33" s="79"/>
      <c r="AP33" s="79"/>
    </row>
    <row r="34" spans="1:42" s="44" customFormat="1" ht="0.75" customHeight="1">
      <c r="A34" s="91"/>
      <c r="B34" s="91"/>
      <c r="C34" s="91"/>
      <c r="D34" s="91"/>
      <c r="E34" s="91"/>
      <c r="F34" s="91"/>
      <c r="G34" s="91"/>
      <c r="H34" s="91"/>
      <c r="I34" s="91"/>
      <c r="J34" s="91"/>
      <c r="K34" s="91"/>
      <c r="L34" s="823"/>
      <c r="M34" s="91"/>
      <c r="N34" s="91"/>
      <c r="O34" s="91"/>
      <c r="S34" s="24"/>
      <c r="T34" s="24"/>
      <c r="U34" s="87"/>
      <c r="V34" s="24"/>
      <c r="W34" s="24"/>
      <c r="X34" s="24"/>
      <c r="Y34" s="24"/>
      <c r="Z34" s="24"/>
      <c r="AA34" s="24"/>
      <c r="AB34" s="77" t="s">
        <v>1489</v>
      </c>
      <c r="AC34" s="24"/>
      <c r="AD34" s="24"/>
      <c r="AE34" s="24"/>
      <c r="AF34" s="24"/>
      <c r="AG34" s="24"/>
      <c r="AH34" s="24"/>
      <c r="AI34" s="77" t="s">
        <v>1489</v>
      </c>
      <c r="AL34" s="79"/>
      <c r="AM34" s="79"/>
      <c r="AN34" s="79"/>
      <c r="AO34" s="79"/>
      <c r="AP34" s="79"/>
    </row>
    <row r="35" spans="1:42" ht="14.25" customHeight="1">
      <c r="Q35" s="36"/>
      <c r="R35" s="36"/>
      <c r="S35" s="793"/>
      <c r="T35" s="25"/>
      <c r="U35" s="766"/>
      <c r="V35" s="1348"/>
      <c r="W35" s="1348"/>
      <c r="X35" s="1348"/>
      <c r="Y35" s="1348"/>
      <c r="Z35" s="1348"/>
      <c r="AA35" s="1348"/>
      <c r="AB35" s="1348"/>
      <c r="AC35" s="1348"/>
      <c r="AD35" s="1348"/>
      <c r="AE35" s="1348"/>
      <c r="AF35" s="1348"/>
      <c r="AG35" s="1348"/>
      <c r="AH35" s="1348"/>
      <c r="AI35" s="1348"/>
    </row>
    <row r="36" spans="1:42" ht="14.25" customHeight="1">
      <c r="Q36" s="36"/>
      <c r="R36" s="36"/>
      <c r="S36" s="1123" t="s">
        <v>292</v>
      </c>
      <c r="T36" s="1123"/>
      <c r="U36" s="1123"/>
      <c r="V36" s="1123"/>
      <c r="W36" s="1123"/>
      <c r="X36" s="1123"/>
      <c r="Y36" s="1123"/>
      <c r="Z36" s="1123"/>
      <c r="AA36" s="1123"/>
      <c r="AB36" s="1123"/>
      <c r="AC36" s="1123"/>
      <c r="AD36" s="1123"/>
      <c r="AE36" s="1123"/>
      <c r="AF36" s="1123"/>
      <c r="AG36" s="1123"/>
      <c r="AH36" s="1123"/>
      <c r="AI36" s="1123"/>
      <c r="AJ36" s="1123"/>
      <c r="AK36" s="1123" t="s">
        <v>293</v>
      </c>
    </row>
    <row r="37" spans="1:42" ht="14.25" customHeight="1">
      <c r="Q37" s="36"/>
      <c r="R37" s="36"/>
      <c r="S37" s="1349" t="s">
        <v>88</v>
      </c>
      <c r="T37" s="1213" t="s">
        <v>1490</v>
      </c>
      <c r="U37" s="180"/>
      <c r="V37" s="1350" t="s">
        <v>1491</v>
      </c>
      <c r="W37" s="1351"/>
      <c r="X37" s="1351"/>
      <c r="Y37" s="1351"/>
      <c r="Z37" s="1351"/>
      <c r="AA37" s="1352"/>
      <c r="AB37" s="1353" t="s">
        <v>1492</v>
      </c>
      <c r="AC37" s="1350" t="s">
        <v>1491</v>
      </c>
      <c r="AD37" s="1351"/>
      <c r="AE37" s="1351"/>
      <c r="AF37" s="1351"/>
      <c r="AG37" s="1351"/>
      <c r="AH37" s="1352"/>
      <c r="AI37" s="1353" t="s">
        <v>1493</v>
      </c>
      <c r="AJ37" s="1356" t="s">
        <v>1494</v>
      </c>
      <c r="AK37" s="1123"/>
    </row>
    <row r="38" spans="1:42" ht="33.75" customHeight="1">
      <c r="Q38" s="36"/>
      <c r="R38" s="36"/>
      <c r="S38" s="1349"/>
      <c r="T38" s="1213"/>
      <c r="U38" s="647"/>
      <c r="V38" s="366" t="s">
        <v>2092</v>
      </c>
      <c r="W38" s="1105" t="s">
        <v>2093</v>
      </c>
      <c r="X38" s="1104"/>
      <c r="Y38" s="1105" t="s">
        <v>1498</v>
      </c>
      <c r="Z38" s="1110"/>
      <c r="AA38" s="1104"/>
      <c r="AB38" s="1354"/>
      <c r="AC38" s="366" t="s">
        <v>2092</v>
      </c>
      <c r="AD38" s="1105" t="s">
        <v>2093</v>
      </c>
      <c r="AE38" s="1104"/>
      <c r="AF38" s="1105" t="s">
        <v>1498</v>
      </c>
      <c r="AG38" s="1110"/>
      <c r="AH38" s="1104"/>
      <c r="AI38" s="1354"/>
      <c r="AJ38" s="1357"/>
      <c r="AK38" s="1123"/>
    </row>
    <row r="39" spans="1:42" ht="86.25" customHeight="1">
      <c r="A39" s="91"/>
      <c r="B39" s="91" t="s">
        <v>136</v>
      </c>
      <c r="C39" s="91" t="s">
        <v>137</v>
      </c>
      <c r="D39" s="91" t="s">
        <v>138</v>
      </c>
      <c r="E39" s="823" t="s">
        <v>1499</v>
      </c>
      <c r="F39" s="823" t="s">
        <v>1500</v>
      </c>
      <c r="G39" s="823" t="s">
        <v>1501</v>
      </c>
      <c r="H39" s="823"/>
      <c r="I39" s="823" t="s">
        <v>1690</v>
      </c>
      <c r="J39" s="823" t="s">
        <v>1504</v>
      </c>
      <c r="K39" s="823" t="s">
        <v>1691</v>
      </c>
      <c r="L39" s="823" t="s">
        <v>1480</v>
      </c>
      <c r="Q39" s="36"/>
      <c r="R39" s="36"/>
      <c r="S39" s="1349"/>
      <c r="T39" s="1213"/>
      <c r="U39" s="181"/>
      <c r="V39" s="366" t="s">
        <v>2094</v>
      </c>
      <c r="W39" s="48" t="s">
        <v>2095</v>
      </c>
      <c r="X39" s="48" t="s">
        <v>2096</v>
      </c>
      <c r="Y39" s="48" t="s">
        <v>1508</v>
      </c>
      <c r="Z39" s="1219" t="s">
        <v>1509</v>
      </c>
      <c r="AA39" s="1233"/>
      <c r="AB39" s="1355"/>
      <c r="AC39" s="366" t="s">
        <v>2094</v>
      </c>
      <c r="AD39" s="48" t="s">
        <v>2095</v>
      </c>
      <c r="AE39" s="48" t="s">
        <v>2096</v>
      </c>
      <c r="AF39" s="48" t="s">
        <v>1508</v>
      </c>
      <c r="AG39" s="1219" t="s">
        <v>1509</v>
      </c>
      <c r="AH39" s="1233"/>
      <c r="AI39" s="1355"/>
      <c r="AJ39" s="1358"/>
      <c r="AK39" s="1123"/>
    </row>
    <row r="40" spans="1:42" s="216" customFormat="1" ht="11.25" hidden="1" customHeight="1">
      <c r="A40" s="91"/>
      <c r="B40" s="91"/>
      <c r="C40" s="91"/>
      <c r="D40" s="91"/>
      <c r="E40" s="91"/>
      <c r="F40" s="91"/>
      <c r="G40" s="91"/>
      <c r="H40" s="91"/>
      <c r="I40" s="91"/>
      <c r="J40" s="91"/>
      <c r="K40" s="91"/>
      <c r="L40" s="823"/>
      <c r="M40" s="541"/>
      <c r="N40" s="541"/>
      <c r="O40" s="541"/>
      <c r="P40" s="768"/>
      <c r="Q40" s="769"/>
      <c r="R40" s="777">
        <v>1</v>
      </c>
      <c r="S40" s="795" t="s">
        <v>109</v>
      </c>
      <c r="T40" s="778" t="s">
        <v>110</v>
      </c>
      <c r="U40" s="767" t="str">
        <f ca="1">OFFSET(U40,0,-1)</f>
        <v>2</v>
      </c>
      <c r="V40" s="779">
        <f ca="1">OFFSET(V40,0,-1)+1</f>
        <v>3</v>
      </c>
      <c r="W40" s="779">
        <f ca="1">OFFSET(W40,0,-1)+1</f>
        <v>4</v>
      </c>
      <c r="X40" s="779">
        <f ca="1">OFFSET(X40,0,-1)+1</f>
        <v>5</v>
      </c>
      <c r="Y40" s="779">
        <f ca="1">OFFSET(Y40,0,-1)+1</f>
        <v>6</v>
      </c>
      <c r="Z40" s="1347">
        <f ca="1">OFFSET(Z40,0,-1)+1</f>
        <v>7</v>
      </c>
      <c r="AA40" s="1347"/>
      <c r="AB40" s="779">
        <f ca="1">OFFSET(AB40,0,-2)+1</f>
        <v>8</v>
      </c>
      <c r="AC40" s="779">
        <f ca="1">OFFSET(AC40,0,-1)+1</f>
        <v>9</v>
      </c>
      <c r="AD40" s="779">
        <f ca="1">OFFSET(AD40,0,-1)+1</f>
        <v>10</v>
      </c>
      <c r="AE40" s="779">
        <f ca="1">OFFSET(AE40,0,-1)+1</f>
        <v>11</v>
      </c>
      <c r="AF40" s="779">
        <f ca="1">OFFSET(AF40,0,-1)+1</f>
        <v>12</v>
      </c>
      <c r="AG40" s="1347">
        <f ca="1">OFFSET(AG40,0,-1)+1</f>
        <v>13</v>
      </c>
      <c r="AH40" s="1347"/>
      <c r="AI40" s="779">
        <f ca="1">OFFSET(AI40,0,-2)+1</f>
        <v>14</v>
      </c>
      <c r="AJ40" s="767">
        <f ca="1">OFFSET(AJ40,0,-1)</f>
        <v>14</v>
      </c>
      <c r="AK40" s="779">
        <f ca="1">OFFSET(AK40,0,-1)+1</f>
        <v>15</v>
      </c>
      <c r="AL40" s="77"/>
      <c r="AM40" s="77"/>
      <c r="AN40" s="77"/>
      <c r="AO40" s="77"/>
      <c r="AP40" s="77"/>
    </row>
    <row r="41" spans="1:42" ht="23.25" customHeight="1">
      <c r="A41" s="822" t="s">
        <v>243</v>
      </c>
      <c r="B41" s="822"/>
      <c r="C41" s="822"/>
      <c r="D41" s="822"/>
      <c r="E41" s="1337">
        <v>1</v>
      </c>
      <c r="F41" s="822"/>
      <c r="G41" s="822"/>
      <c r="H41" s="822"/>
      <c r="I41" s="822"/>
      <c r="J41" s="822"/>
      <c r="K41" s="822"/>
      <c r="L41" s="823"/>
      <c r="M41" s="452"/>
      <c r="N41" s="452"/>
      <c r="O41" s="452"/>
      <c r="Q41" s="43"/>
      <c r="R41" s="220"/>
      <c r="S41" s="755">
        <f>INDEX(PT_DIFFERENTIATION_NUM_NTAR,MATCH(A41,PT_DIFFERENTIATION_NTAR_ID,0))</f>
        <v>0</v>
      </c>
      <c r="T41" s="76" t="s">
        <v>124</v>
      </c>
      <c r="U41" s="179"/>
      <c r="V41" s="1331"/>
      <c r="W41" s="1332"/>
      <c r="X41" s="1332"/>
      <c r="Y41" s="1332"/>
      <c r="Z41" s="1332"/>
      <c r="AA41" s="1332"/>
      <c r="AB41" s="1333"/>
      <c r="AC41" s="1331" t="str">
        <f>INDEX(PT_DIFFERENTIATION_NTAR,MATCH(A41,PT_DIFFERENTIATION_NTAR_ID,0))</f>
        <v/>
      </c>
      <c r="AD41" s="1332"/>
      <c r="AE41" s="1332"/>
      <c r="AF41" s="1332"/>
      <c r="AG41" s="1332"/>
      <c r="AH41" s="1332"/>
      <c r="AI41" s="1332"/>
      <c r="AJ41" s="1333"/>
      <c r="AK41" s="7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9"/>
      <c r="AN41" s="79" t="str">
        <f t="shared" ref="AN41:AN53" si="1">IF(T41="","",T41)</f>
        <v>Наименование тарифа</v>
      </c>
      <c r="AO41" s="79"/>
      <c r="AP41" s="79"/>
    </row>
    <row r="42" spans="1:42" ht="23.25" customHeight="1">
      <c r="A42" s="822" t="s">
        <v>243</v>
      </c>
      <c r="B42" s="822" t="s">
        <v>244</v>
      </c>
      <c r="C42" s="822"/>
      <c r="D42" s="822"/>
      <c r="E42" s="1338"/>
      <c r="F42" s="1337">
        <v>1</v>
      </c>
      <c r="G42" s="822"/>
      <c r="H42" s="822"/>
      <c r="I42" s="822"/>
      <c r="J42" s="822"/>
      <c r="K42" s="822"/>
      <c r="L42" s="823"/>
      <c r="M42" s="452"/>
      <c r="N42" s="452"/>
      <c r="O42" s="452"/>
      <c r="P42" s="68"/>
      <c r="Q42" s="217"/>
      <c r="R42" s="218"/>
      <c r="S42" s="755" t="str">
        <f>INDEX(PT_DIFFERENTIATION_NUM_TER,MATCH(B42,PT_DIFFERENTIATION_TER_ID,0))</f>
        <v>.</v>
      </c>
      <c r="T42" s="187" t="s">
        <v>1462</v>
      </c>
      <c r="U42" s="179"/>
      <c r="V42" s="1331"/>
      <c r="W42" s="1332"/>
      <c r="X42" s="1332"/>
      <c r="Y42" s="1332"/>
      <c r="Z42" s="1332"/>
      <c r="AA42" s="1332"/>
      <c r="AB42" s="1333"/>
      <c r="AC42" s="1331" t="str">
        <f>INDEX(PT_DIFFERENTIATION_TER,MATCH(B42,PT_DIFFERENTIATION_TER_ID,0))</f>
        <v/>
      </c>
      <c r="AD42" s="1332"/>
      <c r="AE42" s="1332"/>
      <c r="AF42" s="1332"/>
      <c r="AG42" s="1332"/>
      <c r="AH42" s="1332"/>
      <c r="AI42" s="1332"/>
      <c r="AJ42" s="1333"/>
      <c r="AK42" s="782" t="s">
        <v>1463</v>
      </c>
      <c r="AM42" s="79"/>
      <c r="AN42" s="79" t="str">
        <f t="shared" si="1"/>
        <v>Территория действия тарифа</v>
      </c>
      <c r="AO42" s="79"/>
      <c r="AP42" s="79"/>
    </row>
    <row r="43" spans="1:42" ht="23.25" customHeight="1">
      <c r="A43" s="822" t="s">
        <v>243</v>
      </c>
      <c r="B43" s="822" t="s">
        <v>244</v>
      </c>
      <c r="C43" s="822" t="s">
        <v>245</v>
      </c>
      <c r="D43" s="822"/>
      <c r="E43" s="1338"/>
      <c r="F43" s="1338"/>
      <c r="G43" s="1337">
        <v>1</v>
      </c>
      <c r="H43" s="822"/>
      <c r="I43" s="822"/>
      <c r="J43" s="822"/>
      <c r="K43" s="822"/>
      <c r="L43" s="823"/>
      <c r="M43" s="452"/>
      <c r="N43" s="452"/>
      <c r="O43" s="452"/>
      <c r="P43" s="219"/>
      <c r="Q43" s="217"/>
      <c r="R43" s="218"/>
      <c r="S43" s="755" t="str">
        <f>INDEX(PT_DIFFERENTIATION_NUM_CS,MATCH(C43,PT_DIFFERENTIATION_CS_ID,0))</f>
        <v>..</v>
      </c>
      <c r="T43" s="188" t="s">
        <v>2090</v>
      </c>
      <c r="U43" s="179"/>
      <c r="V43" s="1331"/>
      <c r="W43" s="1332"/>
      <c r="X43" s="1332"/>
      <c r="Y43" s="1332"/>
      <c r="Z43" s="1332"/>
      <c r="AA43" s="1332"/>
      <c r="AB43" s="1333"/>
      <c r="AC43" s="1331" t="str">
        <f>INDEX(PT_DIFFERENTIATION_CS,MATCH(C43,PT_DIFFERENTIATION_CS_ID,0))</f>
        <v/>
      </c>
      <c r="AD43" s="1332"/>
      <c r="AE43" s="1332"/>
      <c r="AF43" s="1332"/>
      <c r="AG43" s="1332"/>
      <c r="AH43" s="1332"/>
      <c r="AI43" s="1332"/>
      <c r="AJ43" s="1333"/>
      <c r="AK43" s="782" t="s">
        <v>2091</v>
      </c>
      <c r="AM43" s="79"/>
      <c r="AN43" s="79" t="str">
        <f t="shared" si="1"/>
        <v>Наименование централизованной системы горячего водоснабжения</v>
      </c>
      <c r="AO43" s="79"/>
      <c r="AP43" s="79"/>
    </row>
    <row r="44" spans="1:42" ht="23.25" customHeight="1">
      <c r="A44" s="822" t="s">
        <v>243</v>
      </c>
      <c r="B44" s="822" t="s">
        <v>244</v>
      </c>
      <c r="C44" s="822" t="s">
        <v>245</v>
      </c>
      <c r="D44" s="822" t="s">
        <v>2097</v>
      </c>
      <c r="E44" s="1338"/>
      <c r="F44" s="1338"/>
      <c r="G44" s="1338"/>
      <c r="H44" s="1338"/>
      <c r="I44" s="1339" t="str">
        <f>S43&amp;".1"</f>
        <v>...1</v>
      </c>
      <c r="J44" s="822"/>
      <c r="K44" s="822"/>
      <c r="L44" s="823"/>
      <c r="P44" s="1259">
        <v>1</v>
      </c>
      <c r="Q44" s="127"/>
      <c r="R44" s="221"/>
      <c r="S44" s="755" t="str">
        <f>$I44</f>
        <v>...1</v>
      </c>
      <c r="T44" s="172" t="s">
        <v>1683</v>
      </c>
      <c r="U44" s="179"/>
      <c r="V44" s="1429"/>
      <c r="W44" s="1430"/>
      <c r="X44" s="1430"/>
      <c r="Y44" s="1430"/>
      <c r="Z44" s="1430"/>
      <c r="AA44" s="1430"/>
      <c r="AB44" s="1431"/>
      <c r="AC44" s="1432"/>
      <c r="AD44" s="1433"/>
      <c r="AE44" s="1433"/>
      <c r="AF44" s="1433"/>
      <c r="AG44" s="1433"/>
      <c r="AH44" s="1433"/>
      <c r="AI44" s="1433"/>
      <c r="AJ44" s="1434"/>
      <c r="AK44" s="782" t="s">
        <v>1684</v>
      </c>
      <c r="AM44" s="79"/>
      <c r="AN44" s="79" t="str">
        <f t="shared" si="1"/>
        <v>Наименование признака дифференциации</v>
      </c>
      <c r="AO44" s="79"/>
      <c r="AP44" s="79"/>
    </row>
    <row r="45" spans="1:42" ht="23.25" customHeight="1">
      <c r="A45" s="822" t="s">
        <v>243</v>
      </c>
      <c r="B45" s="822" t="s">
        <v>244</v>
      </c>
      <c r="C45" s="822" t="s">
        <v>245</v>
      </c>
      <c r="D45" s="822" t="s">
        <v>2097</v>
      </c>
      <c r="E45" s="1338"/>
      <c r="F45" s="1338"/>
      <c r="G45" s="1338"/>
      <c r="H45" s="1338"/>
      <c r="I45" s="1340"/>
      <c r="J45" s="1339" t="str">
        <f>I44&amp;".1"</f>
        <v>...1.1</v>
      </c>
      <c r="K45" s="822"/>
      <c r="L45" s="823" t="s">
        <v>1471</v>
      </c>
      <c r="P45" s="1259"/>
      <c r="Q45" s="1259">
        <v>1</v>
      </c>
      <c r="R45" s="222"/>
      <c r="S45" s="755" t="str">
        <f>$J45</f>
        <v>...1.1</v>
      </c>
      <c r="T45" s="173" t="s">
        <v>1472</v>
      </c>
      <c r="U45" s="179"/>
      <c r="V45" s="1326"/>
      <c r="W45" s="1327"/>
      <c r="X45" s="1327"/>
      <c r="Y45" s="1327"/>
      <c r="Z45" s="1327"/>
      <c r="AA45" s="1327"/>
      <c r="AB45" s="1328"/>
      <c r="AC45" s="1326"/>
      <c r="AD45" s="1327"/>
      <c r="AE45" s="1327"/>
      <c r="AF45" s="1327"/>
      <c r="AG45" s="1327"/>
      <c r="AH45" s="1327"/>
      <c r="AI45" s="1327"/>
      <c r="AJ45" s="1328"/>
      <c r="AK45" s="809" t="s">
        <v>1685</v>
      </c>
      <c r="AM45" s="79"/>
      <c r="AN45" s="79" t="str">
        <f t="shared" si="1"/>
        <v>Группа потребителей</v>
      </c>
      <c r="AO45" s="79"/>
      <c r="AP45" s="79"/>
    </row>
    <row r="46" spans="1:42" ht="23.25" customHeight="1">
      <c r="A46" s="822" t="s">
        <v>243</v>
      </c>
      <c r="B46" s="822" t="s">
        <v>244</v>
      </c>
      <c r="C46" s="822" t="s">
        <v>245</v>
      </c>
      <c r="D46" s="822" t="s">
        <v>2097</v>
      </c>
      <c r="E46" s="1338"/>
      <c r="F46" s="1338"/>
      <c r="G46" s="1338"/>
      <c r="H46" s="1338"/>
      <c r="I46" s="1340"/>
      <c r="J46" s="1340"/>
      <c r="K46" s="1339" t="str">
        <f>J45&amp;".1"</f>
        <v>...1.1.1</v>
      </c>
      <c r="L46" s="823"/>
      <c r="P46" s="1259"/>
      <c r="Q46" s="1259"/>
      <c r="R46" s="222">
        <v>1</v>
      </c>
      <c r="S46" s="755" t="str">
        <f>$K46</f>
        <v>...1.1.1</v>
      </c>
      <c r="T46" s="853"/>
      <c r="U46" s="179"/>
      <c r="V46" s="1058"/>
      <c r="W46" s="1058"/>
      <c r="X46" s="1059"/>
      <c r="Y46" s="1335"/>
      <c r="Z46" s="1334" t="s">
        <v>67</v>
      </c>
      <c r="AA46" s="1335"/>
      <c r="AB46" s="1334" t="s">
        <v>67</v>
      </c>
      <c r="AC46" s="1054"/>
      <c r="AD46" s="1054"/>
      <c r="AE46" s="1056"/>
      <c r="AF46" s="1341"/>
      <c r="AG46" s="1133" t="s">
        <v>67</v>
      </c>
      <c r="AH46" s="1343"/>
      <c r="AI46" s="1133" t="s">
        <v>57</v>
      </c>
      <c r="AJ46" s="1082"/>
      <c r="AK46" s="143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7" t="e">
        <f ca="1">STRCHECKDATE(V47:AJ47)</f>
        <v>#NAME?</v>
      </c>
      <c r="AM46" s="79"/>
      <c r="AN46" s="79" t="str">
        <f t="shared" si="1"/>
        <v/>
      </c>
      <c r="AO46" s="79"/>
      <c r="AP46" s="79"/>
    </row>
    <row r="47" spans="1:42" ht="0" hidden="1" customHeight="1">
      <c r="A47" s="822" t="s">
        <v>243</v>
      </c>
      <c r="B47" s="822" t="s">
        <v>244</v>
      </c>
      <c r="C47" s="822" t="s">
        <v>245</v>
      </c>
      <c r="D47" s="822" t="s">
        <v>2097</v>
      </c>
      <c r="E47" s="1338"/>
      <c r="F47" s="1338"/>
      <c r="G47" s="1338"/>
      <c r="H47" s="1338"/>
      <c r="I47" s="1340"/>
      <c r="J47" s="1340"/>
      <c r="K47" s="1339"/>
      <c r="L47" s="823"/>
      <c r="P47" s="1259"/>
      <c r="Q47" s="1259"/>
      <c r="R47" s="222"/>
      <c r="S47" s="74"/>
      <c r="T47" s="179"/>
      <c r="U47" s="179"/>
      <c r="V47" s="1058"/>
      <c r="W47" s="1058"/>
      <c r="X47" s="1057" t="str">
        <f>Y46&amp;"-"&amp;AA46</f>
        <v>-</v>
      </c>
      <c r="Y47" s="1334"/>
      <c r="Z47" s="1334"/>
      <c r="AA47" s="1334"/>
      <c r="AB47" s="1334"/>
      <c r="AC47" s="1055"/>
      <c r="AD47" s="1055"/>
      <c r="AE47" s="1057" t="str">
        <f>AF46&amp;"-"&amp;AH46</f>
        <v>-</v>
      </c>
      <c r="AF47" s="1342"/>
      <c r="AG47" s="1133"/>
      <c r="AH47" s="1344"/>
      <c r="AI47" s="1133"/>
      <c r="AJ47" s="1083"/>
      <c r="AK47" s="1435"/>
      <c r="AM47" s="79"/>
      <c r="AN47" s="79" t="str">
        <f t="shared" si="1"/>
        <v/>
      </c>
      <c r="AO47" s="79"/>
      <c r="AP47" s="79"/>
    </row>
    <row r="48" spans="1:42" ht="21" customHeight="1">
      <c r="A48" s="822" t="s">
        <v>243</v>
      </c>
      <c r="B48" s="822" t="s">
        <v>244</v>
      </c>
      <c r="C48" s="822" t="s">
        <v>245</v>
      </c>
      <c r="D48" s="822" t="s">
        <v>2097</v>
      </c>
      <c r="E48" s="1338"/>
      <c r="F48" s="1338"/>
      <c r="G48" s="1338"/>
      <c r="H48" s="1338"/>
      <c r="I48" s="1340"/>
      <c r="J48" s="1339"/>
      <c r="K48" s="822"/>
      <c r="L48" s="823"/>
      <c r="P48" s="1259"/>
      <c r="Q48" s="1259"/>
      <c r="R48" s="221"/>
      <c r="S48" s="796"/>
      <c r="T48" s="174" t="s">
        <v>1686</v>
      </c>
      <c r="U48" s="228"/>
      <c r="V48" s="228"/>
      <c r="W48" s="228"/>
      <c r="X48" s="228"/>
      <c r="Y48" s="228"/>
      <c r="Z48" s="228"/>
      <c r="AA48" s="228"/>
      <c r="AB48" s="228"/>
      <c r="AC48" s="228"/>
      <c r="AD48" s="228"/>
      <c r="AE48" s="228"/>
      <c r="AF48" s="228"/>
      <c r="AG48" s="228"/>
      <c r="AH48" s="228"/>
      <c r="AI48" s="228"/>
      <c r="AJ48" s="228"/>
      <c r="AK48" s="782" t="s">
        <v>1687</v>
      </c>
      <c r="AM48" s="79"/>
      <c r="AN48" s="79" t="str">
        <f t="shared" si="1"/>
        <v>Добавить значение признака дифференциации</v>
      </c>
      <c r="AO48" s="79"/>
      <c r="AP48" s="79"/>
    </row>
    <row r="49" spans="1:42" ht="21" customHeight="1">
      <c r="A49" s="822" t="s">
        <v>243</v>
      </c>
      <c r="B49" s="822" t="s">
        <v>244</v>
      </c>
      <c r="C49" s="822" t="s">
        <v>245</v>
      </c>
      <c r="D49" s="822" t="s">
        <v>2097</v>
      </c>
      <c r="E49" s="1338"/>
      <c r="F49" s="1338"/>
      <c r="G49" s="1338"/>
      <c r="H49" s="1338"/>
      <c r="I49" s="1339"/>
      <c r="J49" s="822"/>
      <c r="K49" s="822"/>
      <c r="L49" s="823"/>
      <c r="P49" s="1259"/>
      <c r="Q49" s="127"/>
      <c r="R49" s="221"/>
      <c r="S49" s="796"/>
      <c r="T49" s="226" t="s">
        <v>1477</v>
      </c>
      <c r="U49" s="228"/>
      <c r="V49" s="228"/>
      <c r="W49" s="228"/>
      <c r="X49" s="228"/>
      <c r="Y49" s="228"/>
      <c r="Z49" s="228"/>
      <c r="AA49" s="228"/>
      <c r="AB49" s="205"/>
      <c r="AC49" s="228"/>
      <c r="AD49" s="228"/>
      <c r="AE49" s="228"/>
      <c r="AF49" s="228"/>
      <c r="AG49" s="228"/>
      <c r="AH49" s="228"/>
      <c r="AI49" s="205"/>
      <c r="AJ49" s="228"/>
      <c r="AK49" s="854"/>
      <c r="AM49" s="79"/>
      <c r="AN49" s="79" t="str">
        <f t="shared" si="1"/>
        <v>Добавить группу потребителей</v>
      </c>
      <c r="AO49" s="79"/>
      <c r="AP49" s="79"/>
    </row>
    <row r="50" spans="1:42" ht="21" customHeight="1">
      <c r="A50" s="822" t="s">
        <v>243</v>
      </c>
      <c r="B50" s="822" t="s">
        <v>244</v>
      </c>
      <c r="C50" s="822" t="s">
        <v>245</v>
      </c>
      <c r="D50" s="822" t="s">
        <v>2097</v>
      </c>
      <c r="E50" s="1338"/>
      <c r="F50" s="1338"/>
      <c r="G50" s="1338"/>
      <c r="H50" s="1337"/>
      <c r="I50" s="822"/>
      <c r="J50" s="822"/>
      <c r="K50" s="822"/>
      <c r="L50" s="823"/>
      <c r="M50" s="452"/>
      <c r="N50" s="452"/>
      <c r="O50" s="72"/>
      <c r="P50" s="43"/>
      <c r="Q50" s="231"/>
      <c r="R50" s="220"/>
      <c r="S50" s="796"/>
      <c r="T50" s="113" t="s">
        <v>1688</v>
      </c>
      <c r="U50" s="228"/>
      <c r="V50" s="228"/>
      <c r="W50" s="228"/>
      <c r="X50" s="228"/>
      <c r="Y50" s="228"/>
      <c r="Z50" s="228"/>
      <c r="AA50" s="228"/>
      <c r="AB50" s="205"/>
      <c r="AC50" s="228"/>
      <c r="AD50" s="228"/>
      <c r="AE50" s="228"/>
      <c r="AF50" s="228"/>
      <c r="AG50" s="228"/>
      <c r="AH50" s="228"/>
      <c r="AI50" s="205"/>
      <c r="AJ50" s="228"/>
      <c r="AK50" s="182"/>
      <c r="AM50" s="79"/>
      <c r="AN50" s="79" t="str">
        <f t="shared" si="1"/>
        <v>Добавить наименование признака дифференциации</v>
      </c>
      <c r="AO50" s="79"/>
      <c r="AP50" s="79"/>
    </row>
    <row r="51" spans="1:42" s="77" customFormat="1" ht="0.75" customHeight="1">
      <c r="A51" s="150" t="s">
        <v>243</v>
      </c>
      <c r="B51" s="150" t="s">
        <v>244</v>
      </c>
      <c r="C51" s="150"/>
      <c r="D51" s="150"/>
      <c r="E51" s="1338"/>
      <c r="F51" s="1337"/>
      <c r="G51" s="150"/>
      <c r="H51" s="150"/>
      <c r="I51" s="150"/>
      <c r="J51" s="150"/>
      <c r="K51" s="150"/>
      <c r="L51" s="373"/>
      <c r="M51" s="815"/>
      <c r="N51" s="815"/>
      <c r="P51" s="111"/>
      <c r="Q51" s="811"/>
      <c r="R51" s="111"/>
      <c r="S51" s="816"/>
      <c r="T51" s="818" t="s">
        <v>1438</v>
      </c>
      <c r="U51" s="338"/>
      <c r="V51" s="338"/>
      <c r="W51" s="338"/>
      <c r="X51" s="338"/>
      <c r="Y51" s="338"/>
      <c r="Z51" s="338"/>
      <c r="AA51" s="338"/>
      <c r="AB51" s="338"/>
      <c r="AC51" s="338"/>
      <c r="AD51" s="338"/>
      <c r="AE51" s="338"/>
      <c r="AF51" s="338"/>
      <c r="AG51" s="338"/>
      <c r="AH51" s="338"/>
      <c r="AI51" s="338"/>
      <c r="AJ51" s="338"/>
      <c r="AK51" s="338"/>
      <c r="AM51" s="79"/>
      <c r="AN51" s="79" t="str">
        <f t="shared" si="1"/>
        <v>Добавить централизованную систему для дифференциации</v>
      </c>
      <c r="AO51" s="79"/>
      <c r="AP51" s="79"/>
    </row>
    <row r="52" spans="1:42" s="77" customFormat="1" ht="0.75" customHeight="1">
      <c r="A52" s="150" t="s">
        <v>243</v>
      </c>
      <c r="B52" s="150"/>
      <c r="C52" s="150"/>
      <c r="D52" s="150"/>
      <c r="E52" s="1337"/>
      <c r="F52" s="150"/>
      <c r="G52" s="150"/>
      <c r="H52" s="150"/>
      <c r="I52" s="150"/>
      <c r="J52" s="150"/>
      <c r="K52" s="150"/>
      <c r="L52" s="373"/>
      <c r="M52" s="815"/>
      <c r="N52" s="815"/>
      <c r="P52" s="111"/>
      <c r="Q52" s="811"/>
      <c r="R52" s="111"/>
      <c r="S52" s="816"/>
      <c r="T52" s="818" t="s">
        <v>1439</v>
      </c>
      <c r="U52" s="338"/>
      <c r="V52" s="338"/>
      <c r="W52" s="338"/>
      <c r="X52" s="338"/>
      <c r="Y52" s="338"/>
      <c r="Z52" s="338"/>
      <c r="AA52" s="338"/>
      <c r="AB52" s="338"/>
      <c r="AC52" s="338"/>
      <c r="AD52" s="338"/>
      <c r="AE52" s="338"/>
      <c r="AF52" s="338"/>
      <c r="AG52" s="338"/>
      <c r="AH52" s="338"/>
      <c r="AI52" s="338"/>
      <c r="AJ52" s="338"/>
      <c r="AK52" s="338"/>
      <c r="AM52" s="79"/>
      <c r="AN52" s="79" t="str">
        <f t="shared" si="1"/>
        <v>Добавить территорию для дифференциации</v>
      </c>
      <c r="AO52" s="79"/>
      <c r="AP52" s="79"/>
    </row>
    <row r="53" spans="1:42" s="77" customFormat="1" ht="0.75" customHeight="1">
      <c r="A53" s="150"/>
      <c r="B53" s="150"/>
      <c r="C53" s="150"/>
      <c r="D53" s="150"/>
      <c r="E53" s="150"/>
      <c r="F53" s="150"/>
      <c r="G53" s="150"/>
      <c r="H53" s="150"/>
      <c r="I53" s="150"/>
      <c r="J53" s="150"/>
      <c r="K53" s="150"/>
      <c r="L53" s="373"/>
      <c r="M53" s="815"/>
      <c r="N53" s="815"/>
      <c r="P53" s="111"/>
      <c r="Q53" s="811"/>
      <c r="R53" s="111"/>
      <c r="S53" s="816"/>
      <c r="T53" s="818" t="s">
        <v>1440</v>
      </c>
      <c r="U53" s="338"/>
      <c r="V53" s="338"/>
      <c r="W53" s="338"/>
      <c r="X53" s="338"/>
      <c r="Y53" s="338"/>
      <c r="Z53" s="338"/>
      <c r="AA53" s="338"/>
      <c r="AB53" s="338"/>
      <c r="AC53" s="338"/>
      <c r="AD53" s="338"/>
      <c r="AE53" s="338"/>
      <c r="AF53" s="338"/>
      <c r="AG53" s="338"/>
      <c r="AH53" s="338"/>
      <c r="AI53" s="338"/>
      <c r="AJ53" s="338"/>
      <c r="AK53" s="338"/>
      <c r="AM53" s="79"/>
      <c r="AN53" s="79" t="str">
        <f t="shared" si="1"/>
        <v>Добавить наименование тарифа</v>
      </c>
      <c r="AO53" s="79"/>
      <c r="AP53" s="79"/>
    </row>
    <row r="54" spans="1:42" ht="11.25" customHeight="1">
      <c r="M54" s="72"/>
      <c r="N54" s="72"/>
      <c r="O54" s="72"/>
      <c r="P54" s="24"/>
      <c r="Q54" s="24"/>
      <c r="R54" s="24"/>
      <c r="S54" s="24"/>
      <c r="AL54" s="24"/>
      <c r="AM54" s="24"/>
      <c r="AN54" s="24"/>
      <c r="AO54" s="24"/>
      <c r="AP54" s="24"/>
    </row>
    <row r="55" spans="1:42" ht="14.25" customHeight="1">
      <c r="O55" s="72"/>
      <c r="S55" s="210" t="s">
        <v>1510</v>
      </c>
      <c r="T55" s="1336" t="s">
        <v>2098</v>
      </c>
      <c r="U55" s="1336"/>
      <c r="V55" s="1336"/>
      <c r="W55" s="1336"/>
      <c r="X55" s="1336"/>
      <c r="Y55" s="1336"/>
      <c r="Z55" s="1336"/>
      <c r="AA55" s="1336"/>
      <c r="AB55" s="1336"/>
      <c r="AC55" s="1336"/>
      <c r="AD55" s="1336"/>
      <c r="AE55" s="1336"/>
      <c r="AF55" s="1336"/>
      <c r="AG55" s="1336"/>
      <c r="AH55" s="1336"/>
      <c r="AI55" s="1336"/>
      <c r="AJ55" s="1336"/>
      <c r="AK55" s="1336"/>
    </row>
    <row r="56" spans="1:42" ht="14.25" customHeight="1">
      <c r="O56" s="72"/>
    </row>
    <row r="57" spans="1:42" ht="14.25" customHeight="1">
      <c r="O57" s="72"/>
      <c r="S57" s="210" t="s">
        <v>1510</v>
      </c>
      <c r="T57" s="1336" t="s">
        <v>2099</v>
      </c>
      <c r="U57" s="1336"/>
      <c r="V57" s="1336"/>
      <c r="W57" s="1336"/>
      <c r="X57" s="1336"/>
      <c r="Y57" s="1336"/>
      <c r="Z57" s="1336"/>
      <c r="AA57" s="1336"/>
      <c r="AB57" s="1336"/>
      <c r="AC57" s="1336"/>
      <c r="AD57" s="1336"/>
      <c r="AE57" s="1336"/>
      <c r="AF57" s="1336"/>
      <c r="AG57" s="1336"/>
      <c r="AH57" s="1336"/>
      <c r="AI57" s="1336"/>
      <c r="AJ57" s="1336"/>
      <c r="AK57" s="1336"/>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31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31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31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31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31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31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31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3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91200A-C676-3DD1-F807-D354326C865A}">
  <sheetPr>
    <tabColor theme="6" tint="0.39997558519241921"/>
  </sheetPr>
  <dimension ref="A1:BH68"/>
  <sheetViews>
    <sheetView showGridLines="0" topLeftCell="R27" zoomScale="90" workbookViewId="0"/>
  </sheetViews>
  <sheetFormatPr defaultColWidth="10.5703125" defaultRowHeight="14.25" customHeight="1"/>
  <cols>
    <col min="1" max="1" width="11.5703125" style="72" hidden="1" customWidth="1"/>
    <col min="2" max="2" width="11" style="72" hidden="1" customWidth="1"/>
    <col min="3" max="3" width="10.5703125" style="72" hidden="1"/>
    <col min="4" max="4" width="12.85546875" style="72" hidden="1" customWidth="1"/>
    <col min="5" max="5" width="10" style="72" hidden="1" customWidth="1"/>
    <col min="6" max="6" width="8.7109375" style="72" hidden="1" customWidth="1"/>
    <col min="7" max="7" width="7.5703125" style="72" hidden="1" customWidth="1"/>
    <col min="8" max="8" width="11.42578125" style="72" hidden="1" customWidth="1"/>
    <col min="9" max="9" width="12" style="72" hidden="1" customWidth="1"/>
    <col min="10" max="10" width="9.85546875" style="72" hidden="1" customWidth="1"/>
    <col min="11" max="11" width="11.42578125" style="72" hidden="1" customWidth="1"/>
    <col min="12" max="12" width="19.140625" style="388" hidden="1" customWidth="1"/>
    <col min="13" max="14" width="12.28515625" style="541" hidden="1" customWidth="1"/>
    <col min="15" max="15" width="23.42578125" style="541" hidden="1" customWidth="1"/>
    <col min="16" max="16" width="3.7109375" style="541" hidden="1" customWidth="1"/>
    <col min="17" max="17" width="3.7109375" style="825" hidden="1" customWidth="1"/>
    <col min="18" max="18" width="3.7109375" style="37" customWidth="1"/>
    <col min="19" max="19" width="12.7109375" style="368" customWidth="1"/>
    <col min="20" max="20" width="32" style="24" customWidth="1"/>
    <col min="21" max="21" width="0.140625" style="24" customWidth="1"/>
    <col min="22" max="25" width="21.7109375" style="24" hidden="1" customWidth="1"/>
    <col min="26" max="26" width="11.7109375" style="24" hidden="1" customWidth="1"/>
    <col min="27" max="27" width="3.7109375" style="24" hidden="1" customWidth="1"/>
    <col min="28" max="28" width="11.7109375" style="24" hidden="1" customWidth="1"/>
    <col min="29" max="29" width="8.5703125" style="24" hidden="1" customWidth="1"/>
    <col min="30" max="32" width="3.7109375" style="24" customWidth="1"/>
    <col min="33" max="33" width="24.7109375" style="24" customWidth="1"/>
    <col min="34" max="36" width="3.7109375" style="24" customWidth="1"/>
    <col min="37" max="37" width="24.7109375" style="24" customWidth="1"/>
    <col min="38" max="40" width="3.7109375" style="24" customWidth="1"/>
    <col min="41" max="41" width="18.85546875" style="24" customWidth="1"/>
    <col min="42" max="44" width="3.7109375" style="24" customWidth="1"/>
    <col min="45" max="45" width="18.85546875" style="24" customWidth="1"/>
    <col min="46" max="49" width="21.7109375" style="24" customWidth="1"/>
    <col min="50" max="50" width="11.7109375" style="24" customWidth="1"/>
    <col min="51" max="51" width="3.7109375" style="24" customWidth="1"/>
    <col min="52" max="52" width="11.7109375" style="24" customWidth="1"/>
    <col min="53" max="53" width="8.5703125" style="24" hidden="1" customWidth="1"/>
    <col min="54" max="54" width="4.7109375" style="24" customWidth="1"/>
    <col min="55" max="55" width="115.7109375" style="24" customWidth="1"/>
    <col min="56" max="57" width="10.5703125" style="77"/>
    <col min="58" max="58" width="11.140625" style="77" customWidth="1"/>
    <col min="59" max="60" width="10.5703125" style="77"/>
  </cols>
  <sheetData>
    <row r="1" spans="1:60" ht="14.25" hidden="1" customHeight="1"/>
    <row r="2" spans="1:60" ht="21" hidden="1" customHeight="1">
      <c r="A2" s="822"/>
      <c r="B2" s="822"/>
      <c r="C2" s="822"/>
      <c r="D2" s="822"/>
      <c r="E2" s="1337">
        <v>1</v>
      </c>
      <c r="F2" s="822"/>
      <c r="G2" s="822"/>
      <c r="H2" s="822"/>
      <c r="I2" s="822"/>
      <c r="J2" s="822"/>
      <c r="K2" s="822"/>
      <c r="L2" s="823"/>
      <c r="M2" s="452"/>
      <c r="N2" s="452"/>
      <c r="O2" s="452"/>
      <c r="Q2" s="71"/>
      <c r="R2" s="220"/>
      <c r="S2" s="755" t="e">
        <f>INDEX(PT_DIFFERENTIATION_NUM_NTAR,MATCH(A2,PT_DIFFERENTIATION_NTAR_ID,0))</f>
        <v>#N/A</v>
      </c>
      <c r="T2" s="76" t="s">
        <v>124</v>
      </c>
      <c r="U2" s="179"/>
      <c r="V2" s="1332"/>
      <c r="W2" s="1332"/>
      <c r="X2" s="1332"/>
      <c r="Y2" s="1332"/>
      <c r="Z2" s="1332"/>
      <c r="AA2" s="1332"/>
      <c r="AB2" s="1332"/>
      <c r="AC2" s="1333"/>
      <c r="AD2" s="1331" t="e">
        <f>INDEX(PT_DIFFERENTIATION_NTAR,MATCH(A2,PT_DIFFERENTIATION_NTAR_ID,0))</f>
        <v>#N/A</v>
      </c>
      <c r="AE2" s="1332"/>
      <c r="AF2" s="1332"/>
      <c r="AG2" s="1332"/>
      <c r="AH2" s="1332"/>
      <c r="AI2" s="1332"/>
      <c r="AJ2" s="1332"/>
      <c r="AK2" s="1332"/>
      <c r="AL2" s="1332"/>
      <c r="AM2" s="1332"/>
      <c r="AN2" s="1332"/>
      <c r="AO2" s="1332"/>
      <c r="AP2" s="1332"/>
      <c r="AQ2" s="1332"/>
      <c r="AR2" s="1332"/>
      <c r="AS2" s="1332"/>
      <c r="AT2" s="1332"/>
      <c r="AU2" s="1332"/>
      <c r="AV2" s="1332"/>
      <c r="AW2" s="1332"/>
      <c r="AX2" s="1332"/>
      <c r="AY2" s="1332"/>
      <c r="AZ2" s="1332"/>
      <c r="BA2" s="1332"/>
      <c r="BB2" s="1333"/>
      <c r="BC2" s="7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79"/>
      <c r="BF2" s="79" t="str">
        <f t="shared" ref="BF2:BF8" si="0">IF(T2="","",T2)</f>
        <v>Наименование тарифа</v>
      </c>
      <c r="BG2" s="79"/>
      <c r="BH2" s="79"/>
    </row>
    <row r="3" spans="1:60" ht="21" hidden="1" customHeight="1">
      <c r="A3" s="822"/>
      <c r="B3" s="822"/>
      <c r="C3" s="822"/>
      <c r="D3" s="822"/>
      <c r="E3" s="1338"/>
      <c r="F3" s="1337">
        <v>1</v>
      </c>
      <c r="G3" s="822"/>
      <c r="H3" s="822"/>
      <c r="I3" s="822"/>
      <c r="J3" s="822"/>
      <c r="K3" s="822"/>
      <c r="L3" s="823"/>
      <c r="M3" s="452"/>
      <c r="N3" s="452"/>
      <c r="O3" s="452"/>
      <c r="P3" s="388"/>
      <c r="Q3" s="845"/>
      <c r="R3" s="218"/>
      <c r="S3" s="755" t="e">
        <f>INDEX(PT_DIFFERENTIATION_NUM_TER,MATCH(B3,PT_DIFFERENTIATION_TER_ID,0))</f>
        <v>#N/A</v>
      </c>
      <c r="T3" s="187" t="s">
        <v>1462</v>
      </c>
      <c r="U3" s="179"/>
      <c r="V3" s="1332"/>
      <c r="W3" s="1332"/>
      <c r="X3" s="1332"/>
      <c r="Y3" s="1332"/>
      <c r="Z3" s="1332"/>
      <c r="AA3" s="1332"/>
      <c r="AB3" s="1332"/>
      <c r="AC3" s="1333"/>
      <c r="AD3" s="1331" t="e">
        <f>INDEX(PT_DIFFERENTIATION_TER,MATCH(B3,PT_DIFFERENTIATION_TER_ID,0))</f>
        <v>#N/A</v>
      </c>
      <c r="AE3" s="1332"/>
      <c r="AF3" s="1332"/>
      <c r="AG3" s="1332"/>
      <c r="AH3" s="1332"/>
      <c r="AI3" s="1332"/>
      <c r="AJ3" s="1332"/>
      <c r="AK3" s="1332"/>
      <c r="AL3" s="1332"/>
      <c r="AM3" s="1332"/>
      <c r="AN3" s="1332"/>
      <c r="AO3" s="1332"/>
      <c r="AP3" s="1332"/>
      <c r="AQ3" s="1332"/>
      <c r="AR3" s="1332"/>
      <c r="AS3" s="1332"/>
      <c r="AT3" s="1332"/>
      <c r="AU3" s="1332"/>
      <c r="AV3" s="1332"/>
      <c r="AW3" s="1332"/>
      <c r="AX3" s="1332"/>
      <c r="AY3" s="1332"/>
      <c r="AZ3" s="1332"/>
      <c r="BA3" s="1332"/>
      <c r="BB3" s="1333"/>
      <c r="BC3" s="782" t="s">
        <v>1463</v>
      </c>
      <c r="BE3" s="79"/>
      <c r="BF3" s="79" t="str">
        <f t="shared" si="0"/>
        <v>Территория действия тарифа</v>
      </c>
      <c r="BG3" s="79"/>
      <c r="BH3" s="79"/>
    </row>
    <row r="4" spans="1:60" ht="33.75" hidden="1" customHeight="1">
      <c r="A4" s="822"/>
      <c r="B4" s="822"/>
      <c r="C4" s="822"/>
      <c r="D4" s="822"/>
      <c r="E4" s="1338"/>
      <c r="F4" s="1338"/>
      <c r="G4" s="1337">
        <v>1</v>
      </c>
      <c r="H4" s="822"/>
      <c r="I4" s="822"/>
      <c r="J4" s="822"/>
      <c r="K4" s="822"/>
      <c r="L4" s="823"/>
      <c r="M4" s="452"/>
      <c r="N4" s="452"/>
      <c r="O4" s="452"/>
      <c r="P4" s="136"/>
      <c r="Q4" s="845"/>
      <c r="R4" s="218"/>
      <c r="S4" s="755" t="e">
        <f>INDEX(PT_DIFFERENTIATION_NUM_CS,MATCH(C4,PT_DIFFERENTIATION_CS_ID,0))</f>
        <v>#N/A</v>
      </c>
      <c r="T4" s="188" t="s">
        <v>2090</v>
      </c>
      <c r="U4" s="179"/>
      <c r="V4" s="1332"/>
      <c r="W4" s="1332"/>
      <c r="X4" s="1332"/>
      <c r="Y4" s="1332"/>
      <c r="Z4" s="1332"/>
      <c r="AA4" s="1332"/>
      <c r="AB4" s="1332"/>
      <c r="AC4" s="1333"/>
      <c r="AD4" s="1331" t="e">
        <f>INDEX(PT_DIFFERENTIATION_CS,MATCH(C4,PT_DIFFERENTIATION_CS_ID,0))</f>
        <v>#N/A</v>
      </c>
      <c r="AE4" s="1332"/>
      <c r="AF4" s="1332"/>
      <c r="AG4" s="1332"/>
      <c r="AH4" s="1332"/>
      <c r="AI4" s="1332"/>
      <c r="AJ4" s="1332"/>
      <c r="AK4" s="1332"/>
      <c r="AL4" s="1332"/>
      <c r="AM4" s="1332"/>
      <c r="AN4" s="1332"/>
      <c r="AO4" s="1332"/>
      <c r="AP4" s="1332"/>
      <c r="AQ4" s="1332"/>
      <c r="AR4" s="1332"/>
      <c r="AS4" s="1332"/>
      <c r="AT4" s="1332"/>
      <c r="AU4" s="1332"/>
      <c r="AV4" s="1332"/>
      <c r="AW4" s="1332"/>
      <c r="AX4" s="1332"/>
      <c r="AY4" s="1332"/>
      <c r="AZ4" s="1332"/>
      <c r="BA4" s="1332"/>
      <c r="BB4" s="1333"/>
      <c r="BC4" s="782" t="s">
        <v>2091</v>
      </c>
      <c r="BE4" s="79"/>
      <c r="BF4" s="79" t="str">
        <f t="shared" si="0"/>
        <v>Наименование централизованной системы горячего водоснабжения</v>
      </c>
      <c r="BG4" s="79"/>
      <c r="BH4" s="79"/>
    </row>
    <row r="5" spans="1:60" s="77" customFormat="1" ht="14.25" hidden="1" customHeight="1">
      <c r="A5" s="150"/>
      <c r="B5" s="150"/>
      <c r="C5" s="150"/>
      <c r="D5" s="150"/>
      <c r="E5" s="1338"/>
      <c r="F5" s="1338"/>
      <c r="G5" s="1338"/>
      <c r="H5" s="1337">
        <v>1</v>
      </c>
      <c r="I5" s="150"/>
      <c r="J5" s="150"/>
      <c r="K5" s="150"/>
      <c r="L5" s="373"/>
      <c r="M5" s="318"/>
      <c r="N5" s="318"/>
      <c r="O5" s="318"/>
      <c r="P5" s="858"/>
      <c r="Q5" s="859"/>
      <c r="R5" s="222"/>
      <c r="S5" s="389"/>
      <c r="T5" s="860"/>
      <c r="U5" s="832"/>
      <c r="V5" s="1366"/>
      <c r="W5" s="1366"/>
      <c r="X5" s="1366"/>
      <c r="Y5" s="1366"/>
      <c r="Z5" s="1366"/>
      <c r="AA5" s="1366"/>
      <c r="AB5" s="1366"/>
      <c r="AC5" s="1367"/>
      <c r="AD5" s="1365"/>
      <c r="AE5" s="1366"/>
      <c r="AF5" s="1366"/>
      <c r="AG5" s="1366"/>
      <c r="AH5" s="1366"/>
      <c r="AI5" s="1366"/>
      <c r="AJ5" s="1366"/>
      <c r="AK5" s="1366"/>
      <c r="AL5" s="1366"/>
      <c r="AM5" s="1366"/>
      <c r="AN5" s="1366"/>
      <c r="AO5" s="1366"/>
      <c r="AP5" s="1366"/>
      <c r="AQ5" s="1366"/>
      <c r="AR5" s="1366"/>
      <c r="AS5" s="1366"/>
      <c r="AT5" s="1366"/>
      <c r="AU5" s="1366"/>
      <c r="AV5" s="1366"/>
      <c r="AW5" s="1366"/>
      <c r="AX5" s="1366"/>
      <c r="AY5" s="1366"/>
      <c r="AZ5" s="1366"/>
      <c r="BA5" s="1366"/>
      <c r="BB5" s="1367"/>
      <c r="BC5" s="833" t="s">
        <v>1467</v>
      </c>
      <c r="BE5" s="79"/>
      <c r="BF5" s="79" t="str">
        <f t="shared" si="0"/>
        <v/>
      </c>
      <c r="BG5" s="79"/>
      <c r="BH5" s="79"/>
    </row>
    <row r="6" spans="1:60" s="77" customFormat="1" ht="14.25" hidden="1" customHeight="1">
      <c r="A6" s="150"/>
      <c r="B6" s="150"/>
      <c r="C6" s="150"/>
      <c r="D6" s="150"/>
      <c r="E6" s="1338"/>
      <c r="F6" s="1338"/>
      <c r="G6" s="1338"/>
      <c r="H6" s="1338"/>
      <c r="I6" s="1339" t="str">
        <f>S5&amp;".1"</f>
        <v>.1</v>
      </c>
      <c r="J6" s="150"/>
      <c r="K6" s="150"/>
      <c r="L6" s="373" t="s">
        <v>1468</v>
      </c>
      <c r="M6" s="235"/>
      <c r="N6" s="235"/>
      <c r="O6" s="235"/>
      <c r="P6" s="1259">
        <v>1</v>
      </c>
      <c r="Q6" s="127"/>
      <c r="R6" s="221"/>
      <c r="S6" s="389"/>
      <c r="T6" s="831"/>
      <c r="U6" s="832"/>
      <c r="V6" s="1366"/>
      <c r="W6" s="1366"/>
      <c r="X6" s="1366"/>
      <c r="Y6" s="1366"/>
      <c r="Z6" s="1366"/>
      <c r="AA6" s="1366"/>
      <c r="AB6" s="1366"/>
      <c r="AC6" s="1367"/>
      <c r="AD6" s="1365"/>
      <c r="AE6" s="1366"/>
      <c r="AF6" s="1366"/>
      <c r="AG6" s="1366"/>
      <c r="AH6" s="1366"/>
      <c r="AI6" s="1366"/>
      <c r="AJ6" s="1366"/>
      <c r="AK6" s="1366"/>
      <c r="AL6" s="1366"/>
      <c r="AM6" s="1366"/>
      <c r="AN6" s="1366"/>
      <c r="AO6" s="1366"/>
      <c r="AP6" s="1366"/>
      <c r="AQ6" s="1366"/>
      <c r="AR6" s="1366"/>
      <c r="AS6" s="1366"/>
      <c r="AT6" s="1366"/>
      <c r="AU6" s="1366"/>
      <c r="AV6" s="1366"/>
      <c r="AW6" s="1366"/>
      <c r="AX6" s="1366"/>
      <c r="AY6" s="1366"/>
      <c r="AZ6" s="1366"/>
      <c r="BA6" s="1366"/>
      <c r="BB6" s="1367"/>
      <c r="BC6" s="833"/>
      <c r="BE6" s="79"/>
      <c r="BF6" s="79" t="str">
        <f t="shared" si="0"/>
        <v/>
      </c>
      <c r="BG6" s="79"/>
      <c r="BH6" s="79"/>
    </row>
    <row r="7" spans="1:60" s="77" customFormat="1" ht="14.25" hidden="1" customHeight="1">
      <c r="A7" s="150"/>
      <c r="B7" s="150"/>
      <c r="C7" s="150"/>
      <c r="D7" s="150"/>
      <c r="E7" s="1338"/>
      <c r="F7" s="1338"/>
      <c r="G7" s="1338"/>
      <c r="H7" s="1338"/>
      <c r="I7" s="1340"/>
      <c r="J7" s="1339" t="str">
        <f>S5&amp;".1"</f>
        <v>.1</v>
      </c>
      <c r="K7" s="150"/>
      <c r="L7" s="373"/>
      <c r="M7" s="235"/>
      <c r="N7" s="235"/>
      <c r="O7" s="235"/>
      <c r="P7" s="1259"/>
      <c r="Q7" s="1259">
        <v>1</v>
      </c>
      <c r="R7" s="222"/>
      <c r="S7" s="389"/>
      <c r="T7" s="840"/>
      <c r="U7" s="832"/>
      <c r="V7" s="1366"/>
      <c r="W7" s="1366"/>
      <c r="X7" s="1366"/>
      <c r="Y7" s="1366"/>
      <c r="Z7" s="1366"/>
      <c r="AA7" s="1366"/>
      <c r="AB7" s="1366"/>
      <c r="AC7" s="1367"/>
      <c r="AD7" s="1365"/>
      <c r="AE7" s="1366"/>
      <c r="AF7" s="1366"/>
      <c r="AG7" s="1366"/>
      <c r="AH7" s="1366"/>
      <c r="AI7" s="1366"/>
      <c r="AJ7" s="1366"/>
      <c r="AK7" s="1366"/>
      <c r="AL7" s="1366"/>
      <c r="AM7" s="1366"/>
      <c r="AN7" s="1366"/>
      <c r="AO7" s="1366"/>
      <c r="AP7" s="1366"/>
      <c r="AQ7" s="1366"/>
      <c r="AR7" s="1366"/>
      <c r="AS7" s="1366"/>
      <c r="AT7" s="1366"/>
      <c r="AU7" s="1366"/>
      <c r="AV7" s="1366"/>
      <c r="AW7" s="1366"/>
      <c r="AX7" s="1366"/>
      <c r="AY7" s="1366"/>
      <c r="AZ7" s="1366"/>
      <c r="BA7" s="1366"/>
      <c r="BB7" s="1367"/>
      <c r="BC7" s="833"/>
      <c r="BE7" s="79"/>
      <c r="BF7" s="79" t="str">
        <f t="shared" si="0"/>
        <v/>
      </c>
      <c r="BG7" s="79"/>
      <c r="BH7" s="79"/>
    </row>
    <row r="8" spans="1:60" ht="11.25" hidden="1" customHeight="1">
      <c r="A8" s="822"/>
      <c r="B8" s="822"/>
      <c r="C8" s="822"/>
      <c r="D8" s="822"/>
      <c r="E8" s="1338"/>
      <c r="F8" s="1338"/>
      <c r="G8" s="1338"/>
      <c r="H8" s="1338"/>
      <c r="I8" s="1340"/>
      <c r="J8" s="1340"/>
      <c r="K8" s="1339" t="e">
        <f>S4&amp;".1"</f>
        <v>#N/A</v>
      </c>
      <c r="L8" s="823"/>
      <c r="P8" s="1259"/>
      <c r="Q8" s="1259"/>
      <c r="R8" s="1391">
        <v>1</v>
      </c>
      <c r="S8" s="1388" t="e">
        <f>$K8</f>
        <v>#N/A</v>
      </c>
      <c r="T8" s="1438"/>
      <c r="U8" s="179"/>
      <c r="V8" s="1054"/>
      <c r="W8" s="1056"/>
      <c r="X8" s="1054"/>
      <c r="Y8" s="1056"/>
      <c r="Z8" s="990"/>
      <c r="AA8" s="322" t="s">
        <v>67</v>
      </c>
      <c r="AB8" s="990"/>
      <c r="AC8" s="322" t="s">
        <v>67</v>
      </c>
      <c r="AD8" s="1195" t="s">
        <v>67</v>
      </c>
      <c r="AE8" s="1384"/>
      <c r="AF8" s="1383">
        <v>1</v>
      </c>
      <c r="AG8" s="1437"/>
      <c r="AH8" s="1133" t="s">
        <v>67</v>
      </c>
      <c r="AI8" s="1384"/>
      <c r="AJ8" s="1383">
        <v>1</v>
      </c>
      <c r="AK8" s="1436" t="s">
        <v>17</v>
      </c>
      <c r="AL8" s="1133" t="s">
        <v>67</v>
      </c>
      <c r="AM8" s="1183"/>
      <c r="AN8" s="1383">
        <v>1</v>
      </c>
      <c r="AO8" s="1441"/>
      <c r="AP8" s="1442" t="s">
        <v>67</v>
      </c>
      <c r="AQ8" s="190"/>
      <c r="AR8" s="820">
        <v>1</v>
      </c>
      <c r="AS8" s="165" t="s">
        <v>17</v>
      </c>
      <c r="AT8" s="1054"/>
      <c r="AU8" s="1056"/>
      <c r="AV8" s="1054"/>
      <c r="AW8" s="1056"/>
      <c r="AX8" s="990"/>
      <c r="AY8" s="322" t="s">
        <v>67</v>
      </c>
      <c r="AZ8" s="990"/>
      <c r="BA8" s="322" t="s">
        <v>67</v>
      </c>
      <c r="BB8" s="1060"/>
      <c r="BC8" s="1359" t="s">
        <v>1701</v>
      </c>
      <c r="BE8" s="79"/>
      <c r="BF8" s="79" t="str">
        <f t="shared" si="0"/>
        <v/>
      </c>
      <c r="BG8" s="79"/>
      <c r="BH8" s="79"/>
    </row>
    <row r="9" spans="1:60" ht="11.25" hidden="1" customHeight="1">
      <c r="A9" s="822"/>
      <c r="B9" s="822"/>
      <c r="C9" s="822"/>
      <c r="D9" s="822"/>
      <c r="E9" s="1338"/>
      <c r="F9" s="1338"/>
      <c r="G9" s="1338"/>
      <c r="H9" s="1338"/>
      <c r="I9" s="1340"/>
      <c r="J9" s="1340"/>
      <c r="K9" s="1339"/>
      <c r="L9" s="823"/>
      <c r="P9" s="1259"/>
      <c r="Q9" s="1259"/>
      <c r="R9" s="1391"/>
      <c r="S9" s="1389"/>
      <c r="T9" s="1439"/>
      <c r="U9" s="179"/>
      <c r="V9" s="1067"/>
      <c r="W9" s="1071"/>
      <c r="X9" s="1067"/>
      <c r="Y9" s="1071"/>
      <c r="Z9" s="1067"/>
      <c r="AA9" s="1067"/>
      <c r="AB9" s="1067"/>
      <c r="AC9" s="1067"/>
      <c r="AD9" s="1196"/>
      <c r="AE9" s="1384"/>
      <c r="AF9" s="1383"/>
      <c r="AG9" s="1437"/>
      <c r="AH9" s="1133"/>
      <c r="AI9" s="1384"/>
      <c r="AJ9" s="1383"/>
      <c r="AK9" s="1436"/>
      <c r="AL9" s="1133"/>
      <c r="AM9" s="1188"/>
      <c r="AN9" s="1383"/>
      <c r="AO9" s="1441"/>
      <c r="AP9" s="1443"/>
      <c r="AQ9" s="195"/>
      <c r="AR9" s="62"/>
      <c r="AS9" s="62" t="s">
        <v>1702</v>
      </c>
      <c r="AT9" s="1067"/>
      <c r="AU9" s="1071"/>
      <c r="AV9" s="1067"/>
      <c r="AW9" s="1071"/>
      <c r="AX9" s="1067"/>
      <c r="AY9" s="1067"/>
      <c r="AZ9" s="1067"/>
      <c r="BA9" s="1067"/>
      <c r="BB9" s="1070"/>
      <c r="BC9" s="1360"/>
      <c r="BE9" s="79"/>
      <c r="BF9" s="79"/>
      <c r="BG9" s="79"/>
      <c r="BH9" s="79"/>
    </row>
    <row r="10" spans="1:60" ht="11.25" hidden="1" customHeight="1">
      <c r="A10" s="822"/>
      <c r="B10" s="822"/>
      <c r="C10" s="822"/>
      <c r="D10" s="822"/>
      <c r="E10" s="1338"/>
      <c r="F10" s="1338"/>
      <c r="G10" s="1338"/>
      <c r="H10" s="1338"/>
      <c r="I10" s="1340"/>
      <c r="J10" s="1340"/>
      <c r="K10" s="1339"/>
      <c r="L10" s="823"/>
      <c r="P10" s="1259"/>
      <c r="Q10" s="1259"/>
      <c r="R10" s="1391"/>
      <c r="S10" s="1389"/>
      <c r="T10" s="1439"/>
      <c r="U10" s="179"/>
      <c r="V10" s="1067"/>
      <c r="W10" s="1071"/>
      <c r="X10" s="1067"/>
      <c r="Y10" s="1071"/>
      <c r="Z10" s="1067"/>
      <c r="AA10" s="1067"/>
      <c r="AB10" s="1067"/>
      <c r="AC10" s="1067"/>
      <c r="AD10" s="1196"/>
      <c r="AE10" s="1384"/>
      <c r="AF10" s="1383"/>
      <c r="AG10" s="1437"/>
      <c r="AH10" s="1133"/>
      <c r="AI10" s="1384"/>
      <c r="AJ10" s="1383"/>
      <c r="AK10" s="1436"/>
      <c r="AL10" s="1133"/>
      <c r="AM10" s="195"/>
      <c r="AN10" s="861"/>
      <c r="AO10" s="861" t="s">
        <v>1703</v>
      </c>
      <c r="AP10" s="62"/>
      <c r="AQ10" s="62"/>
      <c r="AR10" s="62"/>
      <c r="AS10" s="1067"/>
      <c r="AT10" s="1067"/>
      <c r="AU10" s="1071"/>
      <c r="AV10" s="1067"/>
      <c r="AW10" s="1071"/>
      <c r="AX10" s="1067"/>
      <c r="AY10" s="1067"/>
      <c r="AZ10" s="1067"/>
      <c r="BA10" s="1067"/>
      <c r="BB10" s="1070"/>
      <c r="BC10" s="1360"/>
      <c r="BE10" s="79"/>
      <c r="BF10" s="79"/>
      <c r="BG10" s="79"/>
      <c r="BH10" s="79"/>
    </row>
    <row r="11" spans="1:60" ht="11.25" hidden="1" customHeight="1">
      <c r="A11" s="822"/>
      <c r="B11" s="822"/>
      <c r="C11" s="822"/>
      <c r="D11" s="822"/>
      <c r="E11" s="1338"/>
      <c r="F11" s="1338"/>
      <c r="G11" s="1338"/>
      <c r="H11" s="1338"/>
      <c r="I11" s="1340"/>
      <c r="J11" s="1340"/>
      <c r="K11" s="1339"/>
      <c r="L11" s="823"/>
      <c r="P11" s="1259"/>
      <c r="Q11" s="1259"/>
      <c r="R11" s="1391"/>
      <c r="S11" s="1389"/>
      <c r="T11" s="1439"/>
      <c r="U11" s="179"/>
      <c r="V11" s="1067"/>
      <c r="W11" s="1071"/>
      <c r="X11" s="1067"/>
      <c r="Y11" s="1071"/>
      <c r="Z11" s="1067"/>
      <c r="AA11" s="1067"/>
      <c r="AB11" s="1067"/>
      <c r="AC11" s="1067"/>
      <c r="AD11" s="1196"/>
      <c r="AE11" s="1384"/>
      <c r="AF11" s="1383"/>
      <c r="AG11" s="1437"/>
      <c r="AH11" s="1133"/>
      <c r="AI11" s="177"/>
      <c r="AJ11" s="116"/>
      <c r="AK11" s="192" t="s">
        <v>1704</v>
      </c>
      <c r="AL11" s="1067"/>
      <c r="AM11" s="1067"/>
      <c r="AN11" s="1067"/>
      <c r="AO11" s="1067"/>
      <c r="AP11" s="1067"/>
      <c r="AQ11" s="1067"/>
      <c r="AR11" s="1067"/>
      <c r="AS11" s="1067"/>
      <c r="AT11" s="1067"/>
      <c r="AU11" s="1071"/>
      <c r="AV11" s="1067"/>
      <c r="AW11" s="1071"/>
      <c r="AX11" s="1067"/>
      <c r="AY11" s="1067"/>
      <c r="AZ11" s="1067"/>
      <c r="BA11" s="1067"/>
      <c r="BB11" s="1070"/>
      <c r="BC11" s="1360"/>
      <c r="BE11" s="79"/>
      <c r="BF11" s="79"/>
      <c r="BG11" s="79"/>
      <c r="BH11" s="79"/>
    </row>
    <row r="12" spans="1:60" ht="11.25" hidden="1" customHeight="1">
      <c r="A12" s="822"/>
      <c r="B12" s="822"/>
      <c r="C12" s="822"/>
      <c r="D12" s="822"/>
      <c r="E12" s="1338"/>
      <c r="F12" s="1338"/>
      <c r="G12" s="1338"/>
      <c r="H12" s="1338"/>
      <c r="I12" s="1340"/>
      <c r="J12" s="1340"/>
      <c r="K12" s="1339"/>
      <c r="L12" s="823"/>
      <c r="P12" s="1259"/>
      <c r="Q12" s="1259"/>
      <c r="R12" s="1391"/>
      <c r="S12" s="1390"/>
      <c r="T12" s="1440"/>
      <c r="U12" s="179"/>
      <c r="V12" s="1067"/>
      <c r="W12" s="1068" t="str">
        <f>Z8&amp;"-"&amp;AB8</f>
        <v>-</v>
      </c>
      <c r="X12" s="1067"/>
      <c r="Y12" s="1068" t="str">
        <f>AB8&amp;"-"&amp;AD8</f>
        <v>-да</v>
      </c>
      <c r="Z12" s="1067"/>
      <c r="AA12" s="1067"/>
      <c r="AB12" s="1067"/>
      <c r="AC12" s="1067"/>
      <c r="AD12" s="1138"/>
      <c r="AE12" s="191"/>
      <c r="AF12" s="193"/>
      <c r="AG12" s="62" t="s">
        <v>1705</v>
      </c>
      <c r="AH12" s="1067"/>
      <c r="AI12" s="1067"/>
      <c r="AJ12" s="1067"/>
      <c r="AK12" s="1067"/>
      <c r="AL12" s="1067"/>
      <c r="AM12" s="1067"/>
      <c r="AN12" s="1067"/>
      <c r="AO12" s="1067"/>
      <c r="AP12" s="1067"/>
      <c r="AQ12" s="1067"/>
      <c r="AR12" s="1067"/>
      <c r="AS12" s="1067"/>
      <c r="AT12" s="1067"/>
      <c r="AU12" s="1068" t="str">
        <f>AX8&amp;"-"&amp;AZ8</f>
        <v>-</v>
      </c>
      <c r="AV12" s="1067"/>
      <c r="AW12" s="1068" t="str">
        <f>AZ8&amp;"-"&amp;BB8</f>
        <v>-</v>
      </c>
      <c r="AX12" s="1067"/>
      <c r="AY12" s="1067"/>
      <c r="AZ12" s="1067"/>
      <c r="BA12" s="1067"/>
      <c r="BB12" s="1073" t="str">
        <f>BE8&amp;"-"&amp;BG8</f>
        <v>-</v>
      </c>
      <c r="BC12" s="1360"/>
      <c r="BE12" s="79"/>
      <c r="BF12" s="79" t="str">
        <f t="shared" ref="BF12:BF18" si="1">IF(T12="","",T12)</f>
        <v/>
      </c>
      <c r="BG12" s="79"/>
      <c r="BH12" s="79"/>
    </row>
    <row r="13" spans="1:60" ht="11.25" hidden="1" customHeight="1">
      <c r="A13" s="822"/>
      <c r="B13" s="822"/>
      <c r="C13" s="822"/>
      <c r="D13" s="822"/>
      <c r="E13" s="1338"/>
      <c r="F13" s="1338"/>
      <c r="G13" s="1338"/>
      <c r="H13" s="1338"/>
      <c r="I13" s="1340"/>
      <c r="J13" s="1339"/>
      <c r="K13" s="822"/>
      <c r="L13" s="823"/>
      <c r="P13" s="1259"/>
      <c r="Q13" s="1259"/>
      <c r="R13" s="221"/>
      <c r="S13" s="796"/>
      <c r="T13" s="174" t="s">
        <v>1542</v>
      </c>
      <c r="U13" s="228"/>
      <c r="V13" s="228"/>
      <c r="W13" s="228"/>
      <c r="X13" s="228"/>
      <c r="Y13" s="228"/>
      <c r="Z13" s="228"/>
      <c r="AA13" s="228"/>
      <c r="AB13" s="228"/>
      <c r="AC13" s="228"/>
      <c r="AD13" s="865"/>
      <c r="AE13" s="228"/>
      <c r="AF13" s="228"/>
      <c r="AG13" s="228"/>
      <c r="AH13" s="228"/>
      <c r="AI13" s="228"/>
      <c r="AJ13" s="228"/>
      <c r="AK13" s="228"/>
      <c r="AL13" s="228"/>
      <c r="AM13" s="228"/>
      <c r="AN13" s="228"/>
      <c r="AO13" s="228"/>
      <c r="AP13" s="228"/>
      <c r="AQ13" s="228"/>
      <c r="AR13" s="228"/>
      <c r="AS13" s="228"/>
      <c r="AT13" s="228"/>
      <c r="AU13" s="228"/>
      <c r="AV13" s="228"/>
      <c r="AW13" s="228"/>
      <c r="AX13" s="228"/>
      <c r="AY13" s="228"/>
      <c r="AZ13" s="228"/>
      <c r="BA13" s="228"/>
      <c r="BB13" s="204"/>
      <c r="BC13" s="1361"/>
      <c r="BE13" s="79"/>
      <c r="BF13" s="79" t="str">
        <f t="shared" si="1"/>
        <v>Добавить строку</v>
      </c>
      <c r="BG13" s="79"/>
      <c r="BH13" s="79"/>
    </row>
    <row r="14" spans="1:60" s="77" customFormat="1" ht="14.25" hidden="1" customHeight="1">
      <c r="A14" s="150"/>
      <c r="B14" s="150"/>
      <c r="C14" s="150"/>
      <c r="D14" s="150"/>
      <c r="E14" s="1338"/>
      <c r="F14" s="1338"/>
      <c r="G14" s="1338"/>
      <c r="H14" s="1338"/>
      <c r="I14" s="1339"/>
      <c r="J14" s="150"/>
      <c r="K14" s="150"/>
      <c r="L14" s="373"/>
      <c r="M14" s="235"/>
      <c r="N14" s="235"/>
      <c r="O14" s="235"/>
      <c r="P14" s="1259"/>
      <c r="Q14" s="127"/>
      <c r="R14" s="221"/>
      <c r="S14" s="834"/>
      <c r="T14" s="835"/>
      <c r="U14" s="836"/>
      <c r="V14" s="836"/>
      <c r="W14" s="836"/>
      <c r="X14" s="836"/>
      <c r="Y14" s="836"/>
      <c r="Z14" s="836"/>
      <c r="AA14" s="836"/>
      <c r="AB14" s="836"/>
      <c r="AC14" s="836"/>
      <c r="AD14" s="836"/>
      <c r="AE14" s="836"/>
      <c r="AF14" s="836"/>
      <c r="AG14" s="836"/>
      <c r="AH14" s="836"/>
      <c r="AI14" s="836"/>
      <c r="AJ14" s="836"/>
      <c r="AK14" s="836"/>
      <c r="AL14" s="836"/>
      <c r="AM14" s="836"/>
      <c r="AN14" s="836"/>
      <c r="AO14" s="836"/>
      <c r="AP14" s="836"/>
      <c r="AQ14" s="836"/>
      <c r="AR14" s="836"/>
      <c r="AS14" s="836"/>
      <c r="AT14" s="836"/>
      <c r="AU14" s="836"/>
      <c r="AV14" s="836"/>
      <c r="AW14" s="836"/>
      <c r="AX14" s="836"/>
      <c r="AY14" s="836"/>
      <c r="AZ14" s="836"/>
      <c r="BA14" s="836"/>
      <c r="BB14" s="836"/>
      <c r="BC14" s="837"/>
      <c r="BE14" s="79"/>
      <c r="BF14" s="79" t="str">
        <f t="shared" si="1"/>
        <v/>
      </c>
      <c r="BG14" s="79"/>
      <c r="BH14" s="79"/>
    </row>
    <row r="15" spans="1:60" s="77" customFormat="1" ht="14.25" hidden="1" customHeight="1">
      <c r="A15" s="150"/>
      <c r="B15" s="150"/>
      <c r="C15" s="150"/>
      <c r="D15" s="150"/>
      <c r="E15" s="1338"/>
      <c r="F15" s="1338"/>
      <c r="G15" s="1338"/>
      <c r="H15" s="1337"/>
      <c r="I15" s="150"/>
      <c r="J15" s="150"/>
      <c r="K15" s="150"/>
      <c r="L15" s="373"/>
      <c r="M15" s="318"/>
      <c r="N15" s="318"/>
      <c r="P15" s="111"/>
      <c r="Q15" s="811"/>
      <c r="R15" s="842"/>
      <c r="S15" s="834"/>
      <c r="T15" s="835"/>
      <c r="U15" s="836"/>
      <c r="V15" s="836"/>
      <c r="W15" s="836"/>
      <c r="X15" s="836"/>
      <c r="Y15" s="836"/>
      <c r="Z15" s="836"/>
      <c r="AA15" s="836"/>
      <c r="AB15" s="836"/>
      <c r="AC15" s="836"/>
      <c r="AD15" s="836"/>
      <c r="AE15" s="836"/>
      <c r="AF15" s="836"/>
      <c r="AG15" s="836"/>
      <c r="AH15" s="836"/>
      <c r="AI15" s="836"/>
      <c r="AJ15" s="836"/>
      <c r="AK15" s="836"/>
      <c r="AL15" s="836"/>
      <c r="AM15" s="836"/>
      <c r="AN15" s="836"/>
      <c r="AO15" s="836"/>
      <c r="AP15" s="836"/>
      <c r="AQ15" s="836"/>
      <c r="AR15" s="836"/>
      <c r="AS15" s="836"/>
      <c r="AT15" s="836"/>
      <c r="AU15" s="836"/>
      <c r="AV15" s="836"/>
      <c r="AW15" s="836"/>
      <c r="AX15" s="836"/>
      <c r="AY15" s="836"/>
      <c r="AZ15" s="836"/>
      <c r="BA15" s="836"/>
      <c r="BB15" s="836"/>
      <c r="BC15" s="837"/>
      <c r="BE15" s="79"/>
      <c r="BF15" s="79" t="str">
        <f t="shared" si="1"/>
        <v/>
      </c>
      <c r="BG15" s="79"/>
      <c r="BH15" s="79"/>
    </row>
    <row r="16" spans="1:60" s="77" customFormat="1" ht="14.25" hidden="1" customHeight="1">
      <c r="A16" s="150"/>
      <c r="B16" s="150"/>
      <c r="C16" s="150"/>
      <c r="D16" s="150"/>
      <c r="E16" s="1338"/>
      <c r="F16" s="1338"/>
      <c r="G16" s="1337"/>
      <c r="H16" s="150"/>
      <c r="I16" s="150"/>
      <c r="J16" s="150"/>
      <c r="K16" s="150"/>
      <c r="L16" s="373"/>
      <c r="M16" s="318"/>
      <c r="N16" s="318"/>
      <c r="P16" s="111"/>
      <c r="Q16" s="811"/>
      <c r="R16" s="111"/>
      <c r="S16" s="816"/>
      <c r="T16" s="818"/>
      <c r="U16" s="338"/>
      <c r="V16" s="338"/>
      <c r="W16" s="338"/>
      <c r="X16" s="338"/>
      <c r="Y16" s="338"/>
      <c r="Z16" s="338"/>
      <c r="AA16" s="338"/>
      <c r="AB16" s="338"/>
      <c r="AC16" s="338"/>
      <c r="AD16" s="338"/>
      <c r="AE16" s="338"/>
      <c r="AF16" s="338"/>
      <c r="AG16" s="338"/>
      <c r="AH16" s="338"/>
      <c r="AI16" s="338"/>
      <c r="AJ16" s="338"/>
      <c r="AK16" s="338"/>
      <c r="AL16" s="338"/>
      <c r="AM16" s="338"/>
      <c r="AN16" s="338"/>
      <c r="AO16" s="338"/>
      <c r="AP16" s="338"/>
      <c r="AQ16" s="338"/>
      <c r="AR16" s="338"/>
      <c r="AS16" s="338"/>
      <c r="AT16" s="338"/>
      <c r="AU16" s="338"/>
      <c r="AV16" s="338"/>
      <c r="AW16" s="338"/>
      <c r="AX16" s="338"/>
      <c r="AY16" s="338"/>
      <c r="AZ16" s="338"/>
      <c r="BA16" s="338"/>
      <c r="BB16" s="338"/>
      <c r="BC16" s="338"/>
      <c r="BE16" s="79"/>
      <c r="BF16" s="79" t="str">
        <f t="shared" si="1"/>
        <v/>
      </c>
      <c r="BG16" s="79"/>
      <c r="BH16" s="79"/>
    </row>
    <row r="17" spans="1:60" s="77" customFormat="1" ht="14.25" hidden="1" customHeight="1">
      <c r="A17" s="150"/>
      <c r="B17" s="150"/>
      <c r="C17" s="150"/>
      <c r="D17" s="150"/>
      <c r="E17" s="1338"/>
      <c r="F17" s="1337"/>
      <c r="G17" s="150"/>
      <c r="H17" s="150"/>
      <c r="I17" s="150"/>
      <c r="J17" s="150"/>
      <c r="K17" s="150"/>
      <c r="L17" s="373"/>
      <c r="M17" s="815"/>
      <c r="N17" s="815"/>
      <c r="P17" s="111"/>
      <c r="Q17" s="811"/>
      <c r="R17" s="111"/>
      <c r="S17" s="816"/>
      <c r="T17" s="818" t="s">
        <v>1438</v>
      </c>
      <c r="U17" s="338"/>
      <c r="V17" s="338"/>
      <c r="W17" s="338"/>
      <c r="X17" s="338"/>
      <c r="Y17" s="338"/>
      <c r="Z17" s="338"/>
      <c r="AA17" s="338"/>
      <c r="AB17" s="338"/>
      <c r="AC17" s="338"/>
      <c r="AD17" s="338"/>
      <c r="AE17" s="338"/>
      <c r="AF17" s="338"/>
      <c r="AG17" s="338"/>
      <c r="AH17" s="338"/>
      <c r="AI17" s="338"/>
      <c r="AJ17" s="338"/>
      <c r="AK17" s="338"/>
      <c r="AL17" s="338"/>
      <c r="AM17" s="338"/>
      <c r="AN17" s="338"/>
      <c r="AO17" s="338"/>
      <c r="AP17" s="338"/>
      <c r="AQ17" s="338"/>
      <c r="AR17" s="338"/>
      <c r="AS17" s="338"/>
      <c r="AT17" s="338"/>
      <c r="AU17" s="338"/>
      <c r="AV17" s="338"/>
      <c r="AW17" s="338"/>
      <c r="AX17" s="338"/>
      <c r="AY17" s="338"/>
      <c r="AZ17" s="338"/>
      <c r="BA17" s="338"/>
      <c r="BB17" s="338"/>
      <c r="BC17" s="338"/>
      <c r="BE17" s="79"/>
      <c r="BF17" s="79" t="str">
        <f t="shared" si="1"/>
        <v>Добавить централизованную систему для дифференциации</v>
      </c>
      <c r="BG17" s="79"/>
      <c r="BH17" s="79"/>
    </row>
    <row r="18" spans="1:60" s="77" customFormat="1" ht="14.25" hidden="1" customHeight="1">
      <c r="A18" s="150"/>
      <c r="B18" s="150"/>
      <c r="C18" s="150"/>
      <c r="D18" s="150"/>
      <c r="E18" s="1337"/>
      <c r="F18" s="150"/>
      <c r="G18" s="150"/>
      <c r="H18" s="150"/>
      <c r="I18" s="150"/>
      <c r="J18" s="150"/>
      <c r="K18" s="150"/>
      <c r="L18" s="373"/>
      <c r="M18" s="815"/>
      <c r="N18" s="815"/>
      <c r="P18" s="111"/>
      <c r="Q18" s="811"/>
      <c r="R18" s="111"/>
      <c r="S18" s="816"/>
      <c r="T18" s="818" t="s">
        <v>1439</v>
      </c>
      <c r="U18" s="338"/>
      <c r="V18" s="338"/>
      <c r="W18" s="338"/>
      <c r="X18" s="338"/>
      <c r="Y18" s="338"/>
      <c r="Z18" s="338"/>
      <c r="AA18" s="338"/>
      <c r="AB18" s="338"/>
      <c r="AC18" s="338"/>
      <c r="AD18" s="338"/>
      <c r="AE18" s="338"/>
      <c r="AF18" s="338"/>
      <c r="AG18" s="338"/>
      <c r="AH18" s="338"/>
      <c r="AI18" s="338"/>
      <c r="AJ18" s="338"/>
      <c r="AK18" s="338"/>
      <c r="AL18" s="338"/>
      <c r="AM18" s="338"/>
      <c r="AN18" s="338"/>
      <c r="AO18" s="338"/>
      <c r="AP18" s="338"/>
      <c r="AQ18" s="338"/>
      <c r="AR18" s="338"/>
      <c r="AS18" s="338"/>
      <c r="AT18" s="338"/>
      <c r="AU18" s="338"/>
      <c r="AV18" s="338"/>
      <c r="AW18" s="338"/>
      <c r="AX18" s="338"/>
      <c r="AY18" s="338"/>
      <c r="AZ18" s="338"/>
      <c r="BA18" s="338"/>
      <c r="BB18" s="338"/>
      <c r="BC18" s="338"/>
      <c r="BE18" s="79"/>
      <c r="BF18" s="79" t="str">
        <f t="shared" si="1"/>
        <v>Добавить территорию для дифференциации</v>
      </c>
      <c r="BG18" s="79"/>
      <c r="BH18" s="79"/>
    </row>
    <row r="19" spans="1:60" ht="14.25" hidden="1" customHeight="1"/>
    <row r="20" spans="1:60" ht="14.25" hidden="1" customHeight="1">
      <c r="AD20" s="338" t="s">
        <v>57</v>
      </c>
      <c r="AE20" s="862"/>
      <c r="AF20" s="338">
        <v>1</v>
      </c>
      <c r="AG20" s="863"/>
      <c r="AH20" s="338" t="s">
        <v>57</v>
      </c>
      <c r="AI20" s="862"/>
      <c r="AJ20" s="338">
        <v>1</v>
      </c>
      <c r="AK20" s="863"/>
      <c r="AL20" s="338" t="s">
        <v>57</v>
      </c>
      <c r="AM20" s="864"/>
      <c r="AN20" s="338">
        <v>1</v>
      </c>
      <c r="AO20" s="132"/>
      <c r="AP20" s="338" t="s">
        <v>57</v>
      </c>
      <c r="AQ20" s="864"/>
      <c r="AR20" s="338">
        <v>1</v>
      </c>
      <c r="AS20" s="132"/>
      <c r="AT20" s="1055"/>
      <c r="AU20" s="1062"/>
      <c r="AV20" s="1055"/>
      <c r="AW20" s="1062"/>
      <c r="AX20" s="992"/>
      <c r="AY20" s="843" t="s">
        <v>67</v>
      </c>
      <c r="AZ20" s="992"/>
      <c r="BA20" s="843" t="s">
        <v>67</v>
      </c>
    </row>
    <row r="21" spans="1:60" ht="14.25" hidden="1" customHeight="1">
      <c r="BD21" s="216"/>
      <c r="BE21" s="216"/>
      <c r="BF21" s="216"/>
      <c r="BG21" s="216"/>
      <c r="BH21" s="216"/>
    </row>
    <row r="22" spans="1:60" ht="14.25" hidden="1" customHeight="1">
      <c r="O22" s="824" t="s">
        <v>1479</v>
      </c>
      <c r="Z22" s="194"/>
      <c r="AB22" s="194"/>
      <c r="AX22" s="194"/>
      <c r="AZ22" s="194"/>
      <c r="BD22" s="216"/>
      <c r="BE22" s="216"/>
      <c r="BF22" s="216"/>
      <c r="BG22" s="216"/>
      <c r="BH22" s="216"/>
    </row>
    <row r="23" spans="1:60" ht="14.25" hidden="1" customHeight="1">
      <c r="BD23" s="216"/>
      <c r="BE23" s="216"/>
      <c r="BF23" s="216"/>
      <c r="BG23" s="216"/>
      <c r="BH23" s="216"/>
    </row>
    <row r="24" spans="1:60" s="867" customFormat="1" ht="14.25" hidden="1" customHeight="1">
      <c r="M24" s="868"/>
      <c r="N24" s="868"/>
      <c r="O24" s="867" t="s">
        <v>1480</v>
      </c>
      <c r="P24" s="868"/>
      <c r="Q24" s="869"/>
      <c r="R24" s="869"/>
      <c r="AA24" s="867" t="s">
        <v>1482</v>
      </c>
      <c r="AC24" s="867" t="s">
        <v>1483</v>
      </c>
      <c r="AD24" s="867" t="s">
        <v>1543</v>
      </c>
      <c r="AH24" s="867" t="s">
        <v>1543</v>
      </c>
      <c r="AK24" s="867" t="s">
        <v>1706</v>
      </c>
      <c r="AL24" s="867" t="s">
        <v>1543</v>
      </c>
      <c r="AP24" s="867" t="s">
        <v>1543</v>
      </c>
      <c r="AY24" s="867" t="s">
        <v>1482</v>
      </c>
      <c r="BA24" s="867" t="s">
        <v>1483</v>
      </c>
      <c r="BD24" s="870"/>
      <c r="BE24" s="870"/>
      <c r="BF24" s="870"/>
      <c r="BG24" s="870"/>
      <c r="BH24" s="870"/>
    </row>
    <row r="25" spans="1:60" ht="14.25" hidden="1" customHeight="1">
      <c r="O25" s="823"/>
      <c r="BD25" s="216"/>
      <c r="BE25" s="216"/>
      <c r="BF25" s="216"/>
      <c r="BG25" s="216"/>
      <c r="BH25" s="216"/>
    </row>
    <row r="26" spans="1:60" ht="14.25" hidden="1" customHeight="1">
      <c r="O26" s="823"/>
      <c r="BD26" s="216"/>
      <c r="BE26" s="216"/>
      <c r="BF26" s="216"/>
      <c r="BG26" s="216"/>
      <c r="BH26" s="216"/>
    </row>
    <row r="27" spans="1:60" ht="14.25" customHeight="1">
      <c r="Q27" s="176"/>
      <c r="R27" s="36"/>
      <c r="S27" s="793"/>
      <c r="T27" s="25"/>
      <c r="U27" s="25"/>
    </row>
    <row r="28" spans="1:60" ht="33.75" customHeight="1">
      <c r="Q28" s="176"/>
      <c r="R28" s="36"/>
      <c r="S28" s="1181" t="str">
        <f>IF(TEMPLATE_GROUP="P",PT_P_FORM_HOTVSNA_5_NAME_FORM,PT_R_FORM_HOTVSNA_17_NAME_FORM)</f>
        <v>Форма 17. Информация о предложении расчетной величины тарифов на подключение (технологическое присоединение) к централизованной системе горячего водоснабжения &lt;1&gt;</v>
      </c>
      <c r="T28" s="1181"/>
      <c r="U28" s="1181"/>
      <c r="V28" s="1181"/>
      <c r="W28" s="1181"/>
      <c r="X28" s="1181"/>
      <c r="Y28" s="1181"/>
      <c r="Z28" s="1181"/>
      <c r="AA28" s="1181"/>
      <c r="AB28" s="1181"/>
      <c r="AC28" s="1181"/>
      <c r="AD28" s="1181"/>
      <c r="AE28" s="1181"/>
      <c r="AF28" s="1181"/>
      <c r="AG28" s="1181"/>
      <c r="AH28" s="1181"/>
      <c r="AI28" s="1181"/>
      <c r="AJ28" s="1181"/>
      <c r="AK28" s="1181"/>
      <c r="AL28" s="1181"/>
      <c r="AM28" s="1181"/>
      <c r="AN28" s="1181"/>
      <c r="AO28" s="1181"/>
      <c r="AP28" s="1181"/>
      <c r="AQ28" s="1181"/>
      <c r="AR28" s="1181"/>
      <c r="AS28" s="1181"/>
      <c r="AT28" s="1181"/>
      <c r="AU28" s="1181"/>
      <c r="AV28" s="1181"/>
      <c r="AW28" s="1181"/>
      <c r="AX28" s="1181"/>
      <c r="AY28" s="1181"/>
      <c r="AZ28" s="1181"/>
      <c r="BA28" s="69"/>
    </row>
    <row r="29" spans="1:60" ht="14.25" customHeight="1">
      <c r="Q29" s="176"/>
      <c r="R29" s="36"/>
      <c r="S29" s="1204" t="str">
        <f>IF(org=0,"Не определено",org)</f>
        <v>ООО "ТЕПЛО ПЛЮС"</v>
      </c>
      <c r="T29" s="1204"/>
      <c r="U29" s="1204"/>
      <c r="V29" s="1204"/>
      <c r="W29" s="1204"/>
      <c r="X29" s="1204"/>
      <c r="Y29" s="1204"/>
      <c r="Z29" s="1204"/>
      <c r="AA29" s="1204"/>
      <c r="AB29" s="1204"/>
      <c r="AC29" s="1204"/>
      <c r="AD29" s="1204"/>
      <c r="AE29" s="1204"/>
      <c r="AF29" s="1204"/>
      <c r="AG29" s="1204"/>
      <c r="AH29" s="1204"/>
      <c r="AI29" s="1204"/>
      <c r="AJ29" s="1204"/>
      <c r="AK29" s="1204"/>
      <c r="AL29" s="1204"/>
      <c r="AM29" s="1204"/>
      <c r="AN29" s="1204"/>
      <c r="AO29" s="1204"/>
      <c r="AP29" s="1204"/>
      <c r="AQ29" s="1204"/>
      <c r="AR29" s="1204"/>
      <c r="AS29" s="1204"/>
      <c r="AT29" s="1204"/>
      <c r="AU29" s="1204"/>
      <c r="AV29" s="1204"/>
      <c r="AW29" s="1204"/>
      <c r="AX29" s="1204"/>
      <c r="AY29" s="1204"/>
      <c r="AZ29" s="1204"/>
      <c r="BA29" s="69"/>
    </row>
    <row r="30" spans="1:60" ht="14.25" hidden="1" customHeight="1">
      <c r="Q30" s="176"/>
      <c r="R30" s="36"/>
      <c r="S30" s="793"/>
      <c r="T30" s="25"/>
      <c r="U30" s="25"/>
      <c r="V30" s="202"/>
      <c r="W30" s="202"/>
      <c r="X30" s="202"/>
      <c r="Y30" s="202"/>
      <c r="Z30" s="202"/>
      <c r="AA30" s="202"/>
      <c r="AB30" s="202"/>
      <c r="AC30" s="202"/>
      <c r="AD30" s="202"/>
      <c r="AE30" s="202"/>
      <c r="AF30" s="202"/>
      <c r="AG30" s="202"/>
      <c r="AH30" s="202"/>
      <c r="AI30" s="202"/>
      <c r="AJ30" s="202"/>
      <c r="AK30" s="202"/>
      <c r="AL30" s="202"/>
      <c r="AM30" s="202"/>
      <c r="AN30" s="202"/>
      <c r="AO30" s="202"/>
      <c r="AP30" s="202"/>
      <c r="AQ30" s="202"/>
      <c r="AR30" s="202"/>
      <c r="AS30" s="202"/>
      <c r="AT30" s="202"/>
      <c r="AU30" s="202"/>
      <c r="AV30" s="202"/>
      <c r="AW30" s="202"/>
      <c r="AX30" s="202"/>
      <c r="AY30" s="202"/>
      <c r="AZ30" s="202"/>
      <c r="BA30" s="202"/>
    </row>
    <row r="31" spans="1:60" s="44" customFormat="1" ht="25.5" hidden="1" customHeight="1">
      <c r="A31" s="91"/>
      <c r="B31" s="91"/>
      <c r="C31" s="91"/>
      <c r="D31" s="91"/>
      <c r="E31" s="91"/>
      <c r="F31" s="91"/>
      <c r="G31" s="91"/>
      <c r="H31" s="91"/>
      <c r="I31" s="91"/>
      <c r="J31" s="91"/>
      <c r="K31" s="91"/>
      <c r="L31" s="823"/>
      <c r="M31" s="91"/>
      <c r="N31" s="91"/>
      <c r="O31" s="91"/>
      <c r="P31" s="91"/>
      <c r="Q31" s="91"/>
      <c r="S31" s="1329" t="s">
        <v>39</v>
      </c>
      <c r="T31" s="1329"/>
      <c r="U31" s="826"/>
      <c r="V31" s="1330"/>
      <c r="W31" s="1330"/>
      <c r="X31" s="1330"/>
      <c r="Y31" s="1330"/>
      <c r="Z31" s="1330"/>
      <c r="AA31" s="1330"/>
      <c r="AB31" s="1330"/>
      <c r="AC31" s="24"/>
      <c r="AD31" s="1330" t="str">
        <f>IF(TITLE_NAME_OR_PR_CHANGE="",IF(TITLE_NAME_OR_PR="","",TITLE_NAME_OR_PR),TITLE_NAME_OR_PR_CHANGE)</f>
        <v/>
      </c>
      <c r="AE31" s="1330"/>
      <c r="AF31" s="1330"/>
      <c r="AG31" s="1330"/>
      <c r="AH31" s="1330"/>
      <c r="AI31" s="1330"/>
      <c r="AJ31" s="1330"/>
      <c r="AK31" s="1330"/>
      <c r="AL31" s="1330"/>
      <c r="AM31" s="1330"/>
      <c r="AN31" s="1330"/>
      <c r="AO31" s="1330"/>
      <c r="AP31" s="1330"/>
      <c r="AQ31" s="1330"/>
      <c r="AR31" s="1330"/>
      <c r="AS31" s="1330"/>
      <c r="AT31" s="1330"/>
      <c r="AU31" s="1330"/>
      <c r="AV31" s="1330"/>
      <c r="AW31" s="1330"/>
      <c r="AX31" s="1330"/>
      <c r="AY31" s="1330"/>
      <c r="AZ31" s="1330"/>
      <c r="BA31" s="24"/>
      <c r="BB31" s="24"/>
      <c r="BC31" s="171"/>
      <c r="BD31" s="79"/>
      <c r="BE31" s="79"/>
      <c r="BF31" s="79"/>
      <c r="BG31" s="79"/>
      <c r="BH31" s="79"/>
    </row>
    <row r="32" spans="1:60" s="44" customFormat="1" ht="18.75" hidden="1" customHeight="1">
      <c r="A32" s="91"/>
      <c r="B32" s="91"/>
      <c r="C32" s="91"/>
      <c r="D32" s="91"/>
      <c r="E32" s="91"/>
      <c r="F32" s="91"/>
      <c r="G32" s="91"/>
      <c r="H32" s="91"/>
      <c r="I32" s="91"/>
      <c r="J32" s="91"/>
      <c r="K32" s="91"/>
      <c r="L32" s="823"/>
      <c r="M32" s="91"/>
      <c r="N32" s="91"/>
      <c r="O32" s="91"/>
      <c r="P32" s="91"/>
      <c r="Q32" s="91"/>
      <c r="S32" s="1329" t="s">
        <v>1485</v>
      </c>
      <c r="T32" s="1329"/>
      <c r="U32" s="826"/>
      <c r="V32" s="1330"/>
      <c r="W32" s="1330"/>
      <c r="X32" s="1330"/>
      <c r="Y32" s="1330"/>
      <c r="Z32" s="1330"/>
      <c r="AA32" s="1330"/>
      <c r="AB32" s="1330"/>
      <c r="AC32" s="24"/>
      <c r="AD32" s="1330" t="str">
        <f>IF(TITLE_DATE_CHANGE_PERIOD="",IF(TITLE_DATE_PR="","",TITLE_DATE_PR),TITLE_DATE_CHANGE_PERIOD)</f>
        <v/>
      </c>
      <c r="AE32" s="1330"/>
      <c r="AF32" s="1330"/>
      <c r="AG32" s="1330"/>
      <c r="AH32" s="1330"/>
      <c r="AI32" s="1330"/>
      <c r="AJ32" s="1330"/>
      <c r="AK32" s="1330"/>
      <c r="AL32" s="1330"/>
      <c r="AM32" s="1330"/>
      <c r="AN32" s="1330"/>
      <c r="AO32" s="1330"/>
      <c r="AP32" s="1330"/>
      <c r="AQ32" s="1330"/>
      <c r="AR32" s="1330"/>
      <c r="AS32" s="1330"/>
      <c r="AT32" s="1330"/>
      <c r="AU32" s="1330"/>
      <c r="AV32" s="1330"/>
      <c r="AW32" s="1330"/>
      <c r="AX32" s="1330"/>
      <c r="AY32" s="1330"/>
      <c r="AZ32" s="1330"/>
      <c r="BA32" s="24"/>
      <c r="BB32" s="24"/>
      <c r="BC32" s="171"/>
      <c r="BD32" s="79"/>
      <c r="BE32" s="79"/>
      <c r="BF32" s="79"/>
      <c r="BG32" s="79"/>
      <c r="BH32" s="79"/>
    </row>
    <row r="33" spans="1:60" s="44" customFormat="1" ht="18.75" hidden="1" customHeight="1">
      <c r="A33" s="91"/>
      <c r="B33" s="91"/>
      <c r="C33" s="91"/>
      <c r="D33" s="91"/>
      <c r="E33" s="91"/>
      <c r="F33" s="91"/>
      <c r="G33" s="91"/>
      <c r="H33" s="91"/>
      <c r="I33" s="91"/>
      <c r="J33" s="91"/>
      <c r="K33" s="91"/>
      <c r="L33" s="823"/>
      <c r="M33" s="91"/>
      <c r="N33" s="91"/>
      <c r="O33" s="91"/>
      <c r="P33" s="91"/>
      <c r="Q33" s="91"/>
      <c r="S33" s="1329" t="s">
        <v>1486</v>
      </c>
      <c r="T33" s="1329"/>
      <c r="U33" s="826"/>
      <c r="V33" s="1330"/>
      <c r="W33" s="1330"/>
      <c r="X33" s="1330"/>
      <c r="Y33" s="1330"/>
      <c r="Z33" s="1330"/>
      <c r="AA33" s="1330"/>
      <c r="AB33" s="1330"/>
      <c r="AC33" s="24"/>
      <c r="AD33" s="1330" t="str">
        <f>IF(TITLE_NUMBER_PR_CHANGE="",IF(TITLE_NUMBER_PR="","",TITLE_NUMBER_PR),TITLE_NUMBER_PR_CHANGE)</f>
        <v/>
      </c>
      <c r="AE33" s="1330"/>
      <c r="AF33" s="1330"/>
      <c r="AG33" s="1330"/>
      <c r="AH33" s="1330"/>
      <c r="AI33" s="1330"/>
      <c r="AJ33" s="1330"/>
      <c r="AK33" s="1330"/>
      <c r="AL33" s="1330"/>
      <c r="AM33" s="1330"/>
      <c r="AN33" s="1330"/>
      <c r="AO33" s="1330"/>
      <c r="AP33" s="1330"/>
      <c r="AQ33" s="1330"/>
      <c r="AR33" s="1330"/>
      <c r="AS33" s="1330"/>
      <c r="AT33" s="1330"/>
      <c r="AU33" s="1330"/>
      <c r="AV33" s="1330"/>
      <c r="AW33" s="1330"/>
      <c r="AX33" s="1330"/>
      <c r="AY33" s="1330"/>
      <c r="AZ33" s="1330"/>
      <c r="BA33" s="24"/>
      <c r="BB33" s="24"/>
      <c r="BC33" s="171"/>
      <c r="BD33" s="79"/>
      <c r="BE33" s="79"/>
      <c r="BF33" s="79"/>
      <c r="BG33" s="79"/>
      <c r="BH33" s="79"/>
    </row>
    <row r="34" spans="1:60" s="44" customFormat="1" ht="18.75" hidden="1" customHeight="1">
      <c r="A34" s="91"/>
      <c r="B34" s="91"/>
      <c r="C34" s="91"/>
      <c r="D34" s="91"/>
      <c r="E34" s="91"/>
      <c r="F34" s="91"/>
      <c r="G34" s="91"/>
      <c r="H34" s="91"/>
      <c r="I34" s="91"/>
      <c r="J34" s="91"/>
      <c r="K34" s="91"/>
      <c r="L34" s="823"/>
      <c r="M34" s="91"/>
      <c r="N34" s="91"/>
      <c r="O34" s="91"/>
      <c r="P34" s="91"/>
      <c r="Q34" s="91"/>
      <c r="S34" s="1329" t="s">
        <v>40</v>
      </c>
      <c r="T34" s="1329"/>
      <c r="U34" s="826"/>
      <c r="V34" s="1330"/>
      <c r="W34" s="1330"/>
      <c r="X34" s="1330"/>
      <c r="Y34" s="1330"/>
      <c r="Z34" s="1330"/>
      <c r="AA34" s="1330"/>
      <c r="AB34" s="1330"/>
      <c r="AC34" s="24"/>
      <c r="AD34" s="1330" t="str">
        <f>IF(TITLE_IST_PUB_CHANGE="",IF(TITLE_IST_PUB="","",TITLE_IST_PUB),TITLE_IST_PUB_CHANGE)</f>
        <v/>
      </c>
      <c r="AE34" s="1330"/>
      <c r="AF34" s="1330"/>
      <c r="AG34" s="1330"/>
      <c r="AH34" s="1330"/>
      <c r="AI34" s="1330"/>
      <c r="AJ34" s="1330"/>
      <c r="AK34" s="1330"/>
      <c r="AL34" s="1330"/>
      <c r="AM34" s="1330"/>
      <c r="AN34" s="1330"/>
      <c r="AO34" s="1330"/>
      <c r="AP34" s="1330"/>
      <c r="AQ34" s="1330"/>
      <c r="AR34" s="1330"/>
      <c r="AS34" s="1330"/>
      <c r="AT34" s="1330"/>
      <c r="AU34" s="1330"/>
      <c r="AV34" s="1330"/>
      <c r="AW34" s="1330"/>
      <c r="AX34" s="1330"/>
      <c r="AY34" s="1330"/>
      <c r="AZ34" s="1330"/>
      <c r="BA34" s="24"/>
      <c r="BB34" s="24"/>
      <c r="BC34" s="171"/>
      <c r="BD34" s="79"/>
      <c r="BE34" s="79"/>
      <c r="BF34" s="79"/>
      <c r="BG34" s="79"/>
      <c r="BH34" s="79"/>
    </row>
    <row r="35" spans="1:60" ht="14.25" hidden="1" customHeight="1">
      <c r="Q35" s="176"/>
      <c r="R35" s="36"/>
      <c r="S35" s="793"/>
      <c r="T35" s="25"/>
      <c r="U35" s="25"/>
      <c r="V35" s="202"/>
      <c r="W35" s="202"/>
      <c r="X35" s="202"/>
      <c r="Y35" s="202"/>
      <c r="Z35" s="202"/>
      <c r="AA35" s="202"/>
      <c r="AB35" s="202"/>
      <c r="AC35" s="202"/>
      <c r="AD35" s="202"/>
      <c r="AE35" s="202"/>
      <c r="AF35" s="202"/>
      <c r="AG35" s="202"/>
      <c r="AH35" s="202"/>
      <c r="AI35" s="202"/>
      <c r="AJ35" s="202"/>
      <c r="AK35" s="202"/>
      <c r="AL35" s="202"/>
      <c r="AM35" s="202"/>
      <c r="AN35" s="202"/>
      <c r="AO35" s="202"/>
      <c r="AP35" s="202"/>
      <c r="AQ35" s="202"/>
      <c r="AR35" s="202"/>
      <c r="AS35" s="202"/>
      <c r="AT35" s="202"/>
      <c r="AU35" s="202"/>
      <c r="AV35" s="202"/>
      <c r="AW35" s="202"/>
      <c r="AX35" s="202"/>
      <c r="AY35" s="202"/>
      <c r="AZ35" s="202"/>
      <c r="BA35" s="202"/>
    </row>
    <row r="36" spans="1:60" s="44" customFormat="1" ht="18.75" hidden="1" customHeight="1">
      <c r="A36" s="91"/>
      <c r="B36" s="91"/>
      <c r="C36" s="91"/>
      <c r="D36" s="91"/>
      <c r="E36" s="91"/>
      <c r="F36" s="91"/>
      <c r="G36" s="91"/>
      <c r="H36" s="91"/>
      <c r="I36" s="91"/>
      <c r="J36" s="91"/>
      <c r="K36" s="91"/>
      <c r="L36" s="823"/>
      <c r="M36" s="91"/>
      <c r="N36" s="91"/>
      <c r="O36" s="91"/>
      <c r="P36" s="91"/>
      <c r="Q36" s="91"/>
      <c r="S36" s="1329" t="s">
        <v>1485</v>
      </c>
      <c r="T36" s="1329"/>
      <c r="U36" s="826"/>
      <c r="V36" s="1330"/>
      <c r="W36" s="1330"/>
      <c r="X36" s="1330"/>
      <c r="Y36" s="1330"/>
      <c r="Z36" s="1330"/>
      <c r="AA36" s="1330"/>
      <c r="AB36" s="1330"/>
      <c r="AC36" s="24"/>
      <c r="AD36" s="1330" t="str">
        <f>IF(TITLE_DATE_CHANGE_PERIOD="",IF(TITLE_DATE_PR="","",TITLE_DATE_PR),TITLE_DATE_CHANGE_PERIOD)</f>
        <v/>
      </c>
      <c r="AE36" s="1330"/>
      <c r="AF36" s="1330"/>
      <c r="AG36" s="1330"/>
      <c r="AH36" s="1330"/>
      <c r="AI36" s="1330"/>
      <c r="AJ36" s="1330"/>
      <c r="AK36" s="1330"/>
      <c r="AL36" s="1330"/>
      <c r="AM36" s="1330"/>
      <c r="AN36" s="1330"/>
      <c r="AO36" s="1330"/>
      <c r="AP36" s="1330"/>
      <c r="AQ36" s="1330"/>
      <c r="AR36" s="1330"/>
      <c r="AS36" s="1330"/>
      <c r="AT36" s="1330"/>
      <c r="AU36" s="1330"/>
      <c r="AV36" s="1330"/>
      <c r="AW36" s="1330"/>
      <c r="AX36" s="1330"/>
      <c r="AY36" s="1330"/>
      <c r="AZ36" s="1330"/>
      <c r="BA36" s="24"/>
      <c r="BB36" s="24"/>
      <c r="BC36" s="171"/>
      <c r="BD36" s="79"/>
      <c r="BE36" s="79"/>
      <c r="BF36" s="79"/>
      <c r="BG36" s="79"/>
      <c r="BH36" s="79"/>
    </row>
    <row r="37" spans="1:60" s="44" customFormat="1" ht="18.75" hidden="1" customHeight="1">
      <c r="A37" s="91"/>
      <c r="B37" s="91"/>
      <c r="C37" s="91"/>
      <c r="D37" s="91"/>
      <c r="E37" s="91"/>
      <c r="F37" s="91"/>
      <c r="G37" s="91"/>
      <c r="H37" s="91"/>
      <c r="I37" s="91"/>
      <c r="J37" s="91"/>
      <c r="K37" s="91"/>
      <c r="L37" s="823"/>
      <c r="M37" s="91"/>
      <c r="N37" s="91"/>
      <c r="O37" s="91"/>
      <c r="P37" s="91"/>
      <c r="Q37" s="91"/>
      <c r="S37" s="1329" t="s">
        <v>1486</v>
      </c>
      <c r="T37" s="1329"/>
      <c r="U37" s="826"/>
      <c r="V37" s="1330"/>
      <c r="W37" s="1330"/>
      <c r="X37" s="1330"/>
      <c r="Y37" s="1330"/>
      <c r="Z37" s="1330"/>
      <c r="AA37" s="1330"/>
      <c r="AB37" s="1330"/>
      <c r="AC37" s="24"/>
      <c r="AD37" s="1330" t="str">
        <f>IF(TITLE_NUMBER_PR_CHANGE="",IF(TITLE_NUMBER_PR="","",TITLE_NUMBER_PR),TITLE_NUMBER_PR_CHANGE)</f>
        <v/>
      </c>
      <c r="AE37" s="1330"/>
      <c r="AF37" s="1330"/>
      <c r="AG37" s="1330"/>
      <c r="AH37" s="1330"/>
      <c r="AI37" s="1330"/>
      <c r="AJ37" s="1330"/>
      <c r="AK37" s="1330"/>
      <c r="AL37" s="1330"/>
      <c r="AM37" s="1330"/>
      <c r="AN37" s="1330"/>
      <c r="AO37" s="1330"/>
      <c r="AP37" s="1330"/>
      <c r="AQ37" s="1330"/>
      <c r="AR37" s="1330"/>
      <c r="AS37" s="1330"/>
      <c r="AT37" s="1330"/>
      <c r="AU37" s="1330"/>
      <c r="AV37" s="1330"/>
      <c r="AW37" s="1330"/>
      <c r="AX37" s="1330"/>
      <c r="AY37" s="1330"/>
      <c r="AZ37" s="1330"/>
      <c r="BA37" s="24"/>
      <c r="BB37" s="24"/>
      <c r="BC37" s="171"/>
      <c r="BD37" s="79"/>
      <c r="BE37" s="79"/>
      <c r="BF37" s="79"/>
      <c r="BG37" s="79"/>
      <c r="BH37" s="79"/>
    </row>
    <row r="38" spans="1:60" s="44" customFormat="1" ht="0" hidden="1" customHeight="1">
      <c r="A38" s="91"/>
      <c r="B38" s="91"/>
      <c r="C38" s="91"/>
      <c r="D38" s="91"/>
      <c r="E38" s="91"/>
      <c r="F38" s="91"/>
      <c r="G38" s="91"/>
      <c r="H38" s="91"/>
      <c r="I38" s="91"/>
      <c r="J38" s="91"/>
      <c r="K38" s="91"/>
      <c r="L38" s="823"/>
      <c r="M38" s="91"/>
      <c r="N38" s="91"/>
      <c r="O38" s="91"/>
      <c r="P38" s="91"/>
      <c r="Q38" s="91"/>
      <c r="S38" s="24"/>
      <c r="T38" s="24"/>
      <c r="U38" s="87"/>
      <c r="V38" s="24"/>
      <c r="W38" s="24"/>
      <c r="X38" s="24"/>
      <c r="Y38" s="24"/>
      <c r="Z38" s="24"/>
      <c r="AA38" s="24"/>
      <c r="AB38" s="24"/>
      <c r="AC38" s="77" t="s">
        <v>1489</v>
      </c>
      <c r="AD38" s="24"/>
      <c r="AE38" s="24"/>
      <c r="AF38" s="24"/>
      <c r="AG38" s="24"/>
      <c r="AH38" s="24"/>
      <c r="AI38" s="24"/>
      <c r="AJ38" s="24"/>
      <c r="AK38" s="24"/>
      <c r="AL38" s="24"/>
      <c r="AM38" s="24"/>
      <c r="AN38" s="24"/>
      <c r="AO38" s="24"/>
      <c r="AP38" s="24"/>
      <c r="AQ38" s="24"/>
      <c r="AR38" s="24"/>
      <c r="AS38" s="24"/>
      <c r="AT38" s="24"/>
      <c r="AU38" s="24"/>
      <c r="AV38" s="24"/>
      <c r="AW38" s="24"/>
      <c r="AX38" s="24"/>
      <c r="AY38" s="24"/>
      <c r="AZ38" s="24"/>
      <c r="BA38" s="77" t="s">
        <v>1489</v>
      </c>
      <c r="BD38" s="79"/>
      <c r="BE38" s="79"/>
      <c r="BF38" s="79"/>
      <c r="BG38" s="79"/>
      <c r="BH38" s="79"/>
    </row>
    <row r="39" spans="1:60" ht="14.25" customHeight="1">
      <c r="Q39" s="176"/>
      <c r="R39" s="36"/>
      <c r="S39" s="793"/>
      <c r="T39" s="25"/>
      <c r="U39" s="766"/>
      <c r="V39" s="1348"/>
      <c r="W39" s="1348"/>
      <c r="X39" s="1348"/>
      <c r="Y39" s="1348"/>
      <c r="Z39" s="1348"/>
      <c r="AA39" s="1348"/>
      <c r="AB39" s="1348"/>
      <c r="AC39" s="1348"/>
      <c r="AD39" s="1348"/>
      <c r="AE39" s="1348"/>
      <c r="AF39" s="1348"/>
      <c r="AG39" s="1348"/>
      <c r="AH39" s="1348"/>
      <c r="AI39" s="1348"/>
      <c r="AJ39" s="1348"/>
      <c r="AK39" s="1348"/>
      <c r="AL39" s="1348"/>
      <c r="AM39" s="1348"/>
      <c r="AN39" s="1348"/>
      <c r="AO39" s="1348"/>
      <c r="AP39" s="1348"/>
      <c r="AQ39" s="1348"/>
      <c r="AR39" s="1348"/>
      <c r="AS39" s="1348"/>
      <c r="AT39" s="1348"/>
      <c r="AU39" s="1348"/>
      <c r="AV39" s="1348"/>
      <c r="AW39" s="1348"/>
      <c r="AX39" s="1348"/>
      <c r="AY39" s="1348"/>
      <c r="AZ39" s="1348"/>
      <c r="BA39" s="1348"/>
    </row>
    <row r="40" spans="1:60" ht="14.25" customHeight="1">
      <c r="Q40" s="176"/>
      <c r="R40" s="36"/>
      <c r="S40" s="1123" t="s">
        <v>292</v>
      </c>
      <c r="T40" s="1123"/>
      <c r="U40" s="1123"/>
      <c r="V40" s="1123"/>
      <c r="W40" s="1123"/>
      <c r="X40" s="1123"/>
      <c r="Y40" s="1123"/>
      <c r="Z40" s="1123"/>
      <c r="AA40" s="1123"/>
      <c r="AB40" s="1123"/>
      <c r="AC40" s="1123"/>
      <c r="AD40" s="1123"/>
      <c r="AE40" s="1123"/>
      <c r="AF40" s="1123"/>
      <c r="AG40" s="1123"/>
      <c r="AH40" s="1123"/>
      <c r="AI40" s="1123"/>
      <c r="AJ40" s="1123"/>
      <c r="AK40" s="1123"/>
      <c r="AL40" s="1123"/>
      <c r="AM40" s="1123"/>
      <c r="AN40" s="1123"/>
      <c r="AO40" s="1123"/>
      <c r="AP40" s="1123"/>
      <c r="AQ40" s="1123"/>
      <c r="AR40" s="1123"/>
      <c r="AS40" s="1123"/>
      <c r="AT40" s="1123"/>
      <c r="AU40" s="1123"/>
      <c r="AV40" s="1123"/>
      <c r="AW40" s="1123"/>
      <c r="AX40" s="1123"/>
      <c r="AY40" s="1123"/>
      <c r="AZ40" s="1123"/>
      <c r="BA40" s="1123"/>
      <c r="BB40" s="1123"/>
      <c r="BC40" s="1123" t="s">
        <v>293</v>
      </c>
    </row>
    <row r="41" spans="1:60" ht="14.25" customHeight="1">
      <c r="Q41" s="176"/>
      <c r="R41" s="36"/>
      <c r="S41" s="1349" t="s">
        <v>88</v>
      </c>
      <c r="T41" s="1213" t="s">
        <v>1707</v>
      </c>
      <c r="U41" s="180"/>
      <c r="V41" s="1350" t="s">
        <v>1491</v>
      </c>
      <c r="W41" s="1351"/>
      <c r="X41" s="1351"/>
      <c r="Y41" s="1351"/>
      <c r="Z41" s="1351"/>
      <c r="AA41" s="1351"/>
      <c r="AB41" s="1352"/>
      <c r="AC41" s="1353" t="s">
        <v>1492</v>
      </c>
      <c r="AD41" s="1375" t="s">
        <v>1708</v>
      </c>
      <c r="AE41" s="1364"/>
      <c r="AF41" s="1364"/>
      <c r="AG41" s="1376"/>
      <c r="AH41" s="1375" t="s">
        <v>1709</v>
      </c>
      <c r="AI41" s="1364"/>
      <c r="AJ41" s="1364"/>
      <c r="AK41" s="1376"/>
      <c r="AL41" s="1375" t="s">
        <v>1710</v>
      </c>
      <c r="AM41" s="1364"/>
      <c r="AN41" s="1364"/>
      <c r="AO41" s="1376"/>
      <c r="AP41" s="1375" t="s">
        <v>1711</v>
      </c>
      <c r="AQ41" s="1364"/>
      <c r="AR41" s="1364"/>
      <c r="AS41" s="1376"/>
      <c r="AT41" s="1350" t="s">
        <v>1491</v>
      </c>
      <c r="AU41" s="1351"/>
      <c r="AV41" s="1351"/>
      <c r="AW41" s="1351"/>
      <c r="AX41" s="1351"/>
      <c r="AY41" s="1351"/>
      <c r="AZ41" s="1352"/>
      <c r="BA41" s="1353" t="s">
        <v>1492</v>
      </c>
      <c r="BB41" s="1356" t="s">
        <v>1494</v>
      </c>
      <c r="BC41" s="1123"/>
    </row>
    <row r="42" spans="1:60" ht="33.75" customHeight="1">
      <c r="Q42" s="176"/>
      <c r="R42" s="36"/>
      <c r="S42" s="1349"/>
      <c r="T42" s="1213"/>
      <c r="U42" s="647"/>
      <c r="V42" s="1183" t="s">
        <v>1712</v>
      </c>
      <c r="W42" s="1184"/>
      <c r="X42" s="1183" t="s">
        <v>1713</v>
      </c>
      <c r="Y42" s="1184"/>
      <c r="Z42" s="1183" t="s">
        <v>1714</v>
      </c>
      <c r="AA42" s="1369"/>
      <c r="AB42" s="1184"/>
      <c r="AC42" s="1354"/>
      <c r="AD42" s="1377"/>
      <c r="AE42" s="1378"/>
      <c r="AF42" s="1378"/>
      <c r="AG42" s="1379"/>
      <c r="AH42" s="1377"/>
      <c r="AI42" s="1378"/>
      <c r="AJ42" s="1378"/>
      <c r="AK42" s="1379"/>
      <c r="AL42" s="1377"/>
      <c r="AM42" s="1378"/>
      <c r="AN42" s="1378"/>
      <c r="AO42" s="1379"/>
      <c r="AP42" s="1377"/>
      <c r="AQ42" s="1378"/>
      <c r="AR42" s="1378"/>
      <c r="AS42" s="1379"/>
      <c r="AT42" s="1183" t="s">
        <v>1712</v>
      </c>
      <c r="AU42" s="1184"/>
      <c r="AV42" s="1183" t="s">
        <v>1713</v>
      </c>
      <c r="AW42" s="1184"/>
      <c r="AX42" s="1183" t="s">
        <v>1714</v>
      </c>
      <c r="AY42" s="1369"/>
      <c r="AZ42" s="1184"/>
      <c r="BA42" s="1354"/>
      <c r="BB42" s="1357"/>
      <c r="BC42" s="1123"/>
    </row>
    <row r="43" spans="1:60" ht="14.25" customHeight="1">
      <c r="Q43" s="176"/>
      <c r="R43" s="36"/>
      <c r="S43" s="1349"/>
      <c r="T43" s="1213"/>
      <c r="U43" s="647"/>
      <c r="V43" s="1188"/>
      <c r="W43" s="1189"/>
      <c r="X43" s="1188"/>
      <c r="Y43" s="1189"/>
      <c r="Z43" s="1188"/>
      <c r="AA43" s="1370"/>
      <c r="AB43" s="1189"/>
      <c r="AC43" s="1354"/>
      <c r="AD43" s="1377"/>
      <c r="AE43" s="1378"/>
      <c r="AF43" s="1378"/>
      <c r="AG43" s="1379"/>
      <c r="AH43" s="1377"/>
      <c r="AI43" s="1378"/>
      <c r="AJ43" s="1378"/>
      <c r="AK43" s="1379"/>
      <c r="AL43" s="1377"/>
      <c r="AM43" s="1378"/>
      <c r="AN43" s="1378"/>
      <c r="AO43" s="1379"/>
      <c r="AP43" s="1377"/>
      <c r="AQ43" s="1378"/>
      <c r="AR43" s="1378"/>
      <c r="AS43" s="1379"/>
      <c r="AT43" s="1188"/>
      <c r="AU43" s="1189"/>
      <c r="AV43" s="1188"/>
      <c r="AW43" s="1189"/>
      <c r="AX43" s="1188"/>
      <c r="AY43" s="1370"/>
      <c r="AZ43" s="1189"/>
      <c r="BA43" s="1354"/>
      <c r="BB43" s="1357"/>
      <c r="BC43" s="1123"/>
    </row>
    <row r="44" spans="1:60" ht="14.25" customHeight="1">
      <c r="A44" s="91"/>
      <c r="B44" s="91" t="s">
        <v>136</v>
      </c>
      <c r="C44" s="91" t="s">
        <v>137</v>
      </c>
      <c r="D44" s="91" t="s">
        <v>138</v>
      </c>
      <c r="E44" s="823" t="s">
        <v>1499</v>
      </c>
      <c r="F44" s="823" t="s">
        <v>1500</v>
      </c>
      <c r="G44" s="823" t="s">
        <v>1501</v>
      </c>
      <c r="H44" s="823" t="s">
        <v>1502</v>
      </c>
      <c r="I44" s="823" t="s">
        <v>1503</v>
      </c>
      <c r="J44" s="823" t="s">
        <v>1504</v>
      </c>
      <c r="K44" s="823" t="s">
        <v>1505</v>
      </c>
      <c r="L44" s="823" t="s">
        <v>1480</v>
      </c>
      <c r="Q44" s="176"/>
      <c r="R44" s="36"/>
      <c r="S44" s="1349"/>
      <c r="T44" s="1213"/>
      <c r="U44" s="181"/>
      <c r="V44" s="45" t="s">
        <v>1551</v>
      </c>
      <c r="W44" s="45" t="s">
        <v>1552</v>
      </c>
      <c r="X44" s="45" t="s">
        <v>1551</v>
      </c>
      <c r="Y44" s="45" t="s">
        <v>1552</v>
      </c>
      <c r="Z44" s="48" t="s">
        <v>1508</v>
      </c>
      <c r="AA44" s="1219" t="s">
        <v>1509</v>
      </c>
      <c r="AB44" s="1233"/>
      <c r="AC44" s="1355"/>
      <c r="AD44" s="1380"/>
      <c r="AE44" s="1381"/>
      <c r="AF44" s="1381"/>
      <c r="AG44" s="1382"/>
      <c r="AH44" s="1380"/>
      <c r="AI44" s="1381"/>
      <c r="AJ44" s="1381"/>
      <c r="AK44" s="1382"/>
      <c r="AL44" s="1380"/>
      <c r="AM44" s="1381"/>
      <c r="AN44" s="1381"/>
      <c r="AO44" s="1382"/>
      <c r="AP44" s="1380"/>
      <c r="AQ44" s="1381"/>
      <c r="AR44" s="1381"/>
      <c r="AS44" s="1382"/>
      <c r="AT44" s="45" t="s">
        <v>1551</v>
      </c>
      <c r="AU44" s="45" t="s">
        <v>1552</v>
      </c>
      <c r="AV44" s="45" t="s">
        <v>1551</v>
      </c>
      <c r="AW44" s="45" t="s">
        <v>1552</v>
      </c>
      <c r="AX44" s="48" t="s">
        <v>1508</v>
      </c>
      <c r="AY44" s="1219" t="s">
        <v>1509</v>
      </c>
      <c r="AZ44" s="1233"/>
      <c r="BA44" s="1355"/>
      <c r="BB44" s="1358"/>
      <c r="BC44" s="1123"/>
    </row>
    <row r="45" spans="1:60" s="216" customFormat="1" ht="11.25" hidden="1" customHeight="1">
      <c r="A45" s="91"/>
      <c r="B45" s="91"/>
      <c r="C45" s="91"/>
      <c r="D45" s="91"/>
      <c r="E45" s="91"/>
      <c r="F45" s="91"/>
      <c r="G45" s="91"/>
      <c r="H45" s="91"/>
      <c r="I45" s="91"/>
      <c r="J45" s="91"/>
      <c r="K45" s="91"/>
      <c r="L45" s="823"/>
      <c r="M45" s="541"/>
      <c r="N45" s="541"/>
      <c r="O45" s="541"/>
      <c r="P45" s="235"/>
      <c r="Q45" s="777"/>
      <c r="R45" s="777">
        <v>1</v>
      </c>
      <c r="S45" s="795" t="s">
        <v>109</v>
      </c>
      <c r="T45" s="778" t="s">
        <v>110</v>
      </c>
      <c r="U45" s="767" t="str">
        <f ca="1">OFFSET(U45,0,-1)</f>
        <v>2</v>
      </c>
      <c r="V45" s="779">
        <f t="shared" ref="V45:AA45" ca="1" si="2">OFFSET(V45,0,-1)+1</f>
        <v>3</v>
      </c>
      <c r="W45" s="779">
        <f t="shared" ca="1" si="2"/>
        <v>4</v>
      </c>
      <c r="X45" s="779">
        <f t="shared" ca="1" si="2"/>
        <v>5</v>
      </c>
      <c r="Y45" s="779">
        <f t="shared" ca="1" si="2"/>
        <v>6</v>
      </c>
      <c r="Z45" s="779">
        <f t="shared" ca="1" si="2"/>
        <v>7</v>
      </c>
      <c r="AA45" s="1347">
        <f t="shared" ca="1" si="2"/>
        <v>8</v>
      </c>
      <c r="AB45" s="1347"/>
      <c r="AC45" s="779">
        <f ca="1">OFFSET(AC45,0,-2)+1</f>
        <v>9</v>
      </c>
      <c r="AD45" s="779">
        <f ca="1">OFFSET(AD45,0,-1)+1</f>
        <v>10</v>
      </c>
      <c r="AE45" s="779"/>
      <c r="AF45" s="779"/>
      <c r="AG45" s="779"/>
      <c r="AH45" s="779"/>
      <c r="AI45" s="779"/>
      <c r="AJ45" s="779"/>
      <c r="AK45" s="779"/>
      <c r="AL45" s="779"/>
      <c r="AM45" s="779"/>
      <c r="AN45" s="779"/>
      <c r="AO45" s="779"/>
      <c r="AP45" s="779"/>
      <c r="AQ45" s="779"/>
      <c r="AR45" s="779"/>
      <c r="AS45" s="779"/>
      <c r="AT45" s="779"/>
      <c r="AU45" s="779"/>
      <c r="AV45" s="779"/>
      <c r="AW45" s="779">
        <f ca="1">OFFSET(AW45,0,-1)+1</f>
        <v>1</v>
      </c>
      <c r="AX45" s="779">
        <f ca="1">OFFSET(AX45,0,-1)+1</f>
        <v>2</v>
      </c>
      <c r="AY45" s="1347">
        <f ca="1">OFFSET(AY45,0,-1)+1</f>
        <v>3</v>
      </c>
      <c r="AZ45" s="1347"/>
      <c r="BA45" s="779">
        <f ca="1">OFFSET(BA45,0,-2)+1</f>
        <v>4</v>
      </c>
      <c r="BB45" s="767">
        <f ca="1">OFFSET(BB45,0,-1)</f>
        <v>4</v>
      </c>
      <c r="BC45" s="779">
        <f ca="1">OFFSET(BC45,0,-1)+1</f>
        <v>5</v>
      </c>
      <c r="BD45" s="77"/>
      <c r="BE45" s="77"/>
      <c r="BF45" s="77"/>
      <c r="BG45" s="77"/>
      <c r="BH45" s="77"/>
    </row>
    <row r="46" spans="1:60" ht="21" customHeight="1">
      <c r="A46" s="822" t="s">
        <v>253</v>
      </c>
      <c r="B46" s="822"/>
      <c r="C46" s="822"/>
      <c r="D46" s="822"/>
      <c r="E46" s="1337">
        <v>1</v>
      </c>
      <c r="F46" s="822"/>
      <c r="G46" s="822"/>
      <c r="H46" s="822"/>
      <c r="I46" s="822"/>
      <c r="J46" s="822"/>
      <c r="K46" s="822"/>
      <c r="L46" s="823"/>
      <c r="M46" s="452"/>
      <c r="N46" s="452"/>
      <c r="O46" s="452"/>
      <c r="Q46" s="71"/>
      <c r="R46" s="220"/>
      <c r="S46" s="755">
        <f>INDEX(PT_DIFFERENTIATION_NUM_NTAR,MATCH(A46,PT_DIFFERENTIATION_NTAR_ID,0))</f>
        <v>0</v>
      </c>
      <c r="T46" s="76" t="s">
        <v>124</v>
      </c>
      <c r="U46" s="179"/>
      <c r="V46" s="1332"/>
      <c r="W46" s="1332"/>
      <c r="X46" s="1332"/>
      <c r="Y46" s="1332"/>
      <c r="Z46" s="1332"/>
      <c r="AA46" s="1332"/>
      <c r="AB46" s="1332"/>
      <c r="AC46" s="1333"/>
      <c r="AD46" s="1331" t="str">
        <f>INDEX(PT_DIFFERENTIATION_NTAR,MATCH(A46,PT_DIFFERENTIATION_NTAR_ID,0))</f>
        <v/>
      </c>
      <c r="AE46" s="1332"/>
      <c r="AF46" s="1332"/>
      <c r="AG46" s="1332"/>
      <c r="AH46" s="1332"/>
      <c r="AI46" s="1332"/>
      <c r="AJ46" s="1332"/>
      <c r="AK46" s="1332"/>
      <c r="AL46" s="1332"/>
      <c r="AM46" s="1332"/>
      <c r="AN46" s="1332"/>
      <c r="AO46" s="1332"/>
      <c r="AP46" s="1332"/>
      <c r="AQ46" s="1332"/>
      <c r="AR46" s="1332"/>
      <c r="AS46" s="1332"/>
      <c r="AT46" s="1332"/>
      <c r="AU46" s="1332"/>
      <c r="AV46" s="1332"/>
      <c r="AW46" s="1332"/>
      <c r="AX46" s="1332"/>
      <c r="AY46" s="1332"/>
      <c r="AZ46" s="1332"/>
      <c r="BA46" s="1332"/>
      <c r="BB46" s="1333"/>
      <c r="BC46" s="7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79"/>
      <c r="BF46" s="79" t="str">
        <f t="shared" ref="BF46:BF52" si="3">IF(T46="","",T46)</f>
        <v>Наименование тарифа</v>
      </c>
      <c r="BG46" s="79"/>
      <c r="BH46" s="79"/>
    </row>
    <row r="47" spans="1:60" ht="21" customHeight="1">
      <c r="A47" s="822" t="s">
        <v>253</v>
      </c>
      <c r="B47" s="822" t="s">
        <v>254</v>
      </c>
      <c r="C47" s="822"/>
      <c r="D47" s="822"/>
      <c r="E47" s="1338"/>
      <c r="F47" s="1337">
        <v>1</v>
      </c>
      <c r="G47" s="822"/>
      <c r="H47" s="822"/>
      <c r="I47" s="822"/>
      <c r="J47" s="822"/>
      <c r="K47" s="822"/>
      <c r="L47" s="823"/>
      <c r="M47" s="452"/>
      <c r="N47" s="452"/>
      <c r="O47" s="452"/>
      <c r="P47" s="388"/>
      <c r="Q47" s="845"/>
      <c r="R47" s="218"/>
      <c r="S47" s="755" t="str">
        <f>INDEX(PT_DIFFERENTIATION_NUM_TER,MATCH(B47,PT_DIFFERENTIATION_TER_ID,0))</f>
        <v>.</v>
      </c>
      <c r="T47" s="187" t="s">
        <v>1462</v>
      </c>
      <c r="U47" s="179"/>
      <c r="V47" s="1332"/>
      <c r="W47" s="1332"/>
      <c r="X47" s="1332"/>
      <c r="Y47" s="1332"/>
      <c r="Z47" s="1332"/>
      <c r="AA47" s="1332"/>
      <c r="AB47" s="1332"/>
      <c r="AC47" s="1333"/>
      <c r="AD47" s="1331" t="str">
        <f>INDEX(PT_DIFFERENTIATION_TER,MATCH(B47,PT_DIFFERENTIATION_TER_ID,0))</f>
        <v/>
      </c>
      <c r="AE47" s="1332"/>
      <c r="AF47" s="1332"/>
      <c r="AG47" s="1332"/>
      <c r="AH47" s="1332"/>
      <c r="AI47" s="1332"/>
      <c r="AJ47" s="1332"/>
      <c r="AK47" s="1332"/>
      <c r="AL47" s="1332"/>
      <c r="AM47" s="1332"/>
      <c r="AN47" s="1332"/>
      <c r="AO47" s="1332"/>
      <c r="AP47" s="1332"/>
      <c r="AQ47" s="1332"/>
      <c r="AR47" s="1332"/>
      <c r="AS47" s="1332"/>
      <c r="AT47" s="1332"/>
      <c r="AU47" s="1332"/>
      <c r="AV47" s="1332"/>
      <c r="AW47" s="1332"/>
      <c r="AX47" s="1332"/>
      <c r="AY47" s="1332"/>
      <c r="AZ47" s="1332"/>
      <c r="BA47" s="1332"/>
      <c r="BB47" s="1333"/>
      <c r="BC47" s="782" t="s">
        <v>1463</v>
      </c>
      <c r="BE47" s="79"/>
      <c r="BF47" s="79" t="str">
        <f t="shared" si="3"/>
        <v>Территория действия тарифа</v>
      </c>
      <c r="BG47" s="79"/>
      <c r="BH47" s="79"/>
    </row>
    <row r="48" spans="1:60" ht="33.75" customHeight="1">
      <c r="A48" s="822" t="s">
        <v>253</v>
      </c>
      <c r="B48" s="822" t="s">
        <v>254</v>
      </c>
      <c r="C48" s="822" t="s">
        <v>255</v>
      </c>
      <c r="D48" s="822"/>
      <c r="E48" s="1338"/>
      <c r="F48" s="1338"/>
      <c r="G48" s="1337">
        <v>1</v>
      </c>
      <c r="H48" s="822"/>
      <c r="I48" s="822"/>
      <c r="J48" s="822"/>
      <c r="K48" s="822"/>
      <c r="L48" s="823"/>
      <c r="M48" s="452"/>
      <c r="N48" s="452"/>
      <c r="O48" s="452"/>
      <c r="P48" s="136"/>
      <c r="Q48" s="845"/>
      <c r="R48" s="218"/>
      <c r="S48" s="755" t="str">
        <f>INDEX(PT_DIFFERENTIATION_NUM_CS,MATCH(C48,PT_DIFFERENTIATION_CS_ID,0))</f>
        <v>..</v>
      </c>
      <c r="T48" s="188" t="s">
        <v>2090</v>
      </c>
      <c r="U48" s="179"/>
      <c r="V48" s="1332"/>
      <c r="W48" s="1332"/>
      <c r="X48" s="1332"/>
      <c r="Y48" s="1332"/>
      <c r="Z48" s="1332"/>
      <c r="AA48" s="1332"/>
      <c r="AB48" s="1332"/>
      <c r="AC48" s="1333"/>
      <c r="AD48" s="1331" t="str">
        <f>INDEX(PT_DIFFERENTIATION_CS,MATCH(C48,PT_DIFFERENTIATION_CS_ID,0))</f>
        <v/>
      </c>
      <c r="AE48" s="1332"/>
      <c r="AF48" s="1332"/>
      <c r="AG48" s="1332"/>
      <c r="AH48" s="1332"/>
      <c r="AI48" s="1332"/>
      <c r="AJ48" s="1332"/>
      <c r="AK48" s="1332"/>
      <c r="AL48" s="1332"/>
      <c r="AM48" s="1332"/>
      <c r="AN48" s="1332"/>
      <c r="AO48" s="1332"/>
      <c r="AP48" s="1332"/>
      <c r="AQ48" s="1332"/>
      <c r="AR48" s="1332"/>
      <c r="AS48" s="1332"/>
      <c r="AT48" s="1332"/>
      <c r="AU48" s="1332"/>
      <c r="AV48" s="1332"/>
      <c r="AW48" s="1332"/>
      <c r="AX48" s="1332"/>
      <c r="AY48" s="1332"/>
      <c r="AZ48" s="1332"/>
      <c r="BA48" s="1332"/>
      <c r="BB48" s="1333"/>
      <c r="BC48" s="782" t="s">
        <v>2091</v>
      </c>
      <c r="BE48" s="79"/>
      <c r="BF48" s="79" t="str">
        <f t="shared" si="3"/>
        <v>Наименование централизованной системы горячего водоснабжения</v>
      </c>
      <c r="BG48" s="79"/>
      <c r="BH48" s="79"/>
    </row>
    <row r="49" spans="1:60" s="77" customFormat="1" ht="0" hidden="1" customHeight="1">
      <c r="A49" s="150" t="s">
        <v>253</v>
      </c>
      <c r="B49" s="150" t="s">
        <v>254</v>
      </c>
      <c r="C49" s="150" t="s">
        <v>255</v>
      </c>
      <c r="D49" s="150" t="s">
        <v>2100</v>
      </c>
      <c r="E49" s="1338"/>
      <c r="F49" s="1338"/>
      <c r="G49" s="1338"/>
      <c r="H49" s="1337">
        <v>1</v>
      </c>
      <c r="I49" s="150"/>
      <c r="J49" s="150"/>
      <c r="K49" s="150"/>
      <c r="L49" s="373"/>
      <c r="M49" s="318"/>
      <c r="N49" s="318"/>
      <c r="O49" s="318"/>
      <c r="P49" s="858"/>
      <c r="Q49" s="859"/>
      <c r="R49" s="222"/>
      <c r="S49" s="389"/>
      <c r="T49" s="860"/>
      <c r="U49" s="832"/>
      <c r="V49" s="1366"/>
      <c r="W49" s="1366"/>
      <c r="X49" s="1366"/>
      <c r="Y49" s="1366"/>
      <c r="Z49" s="1366"/>
      <c r="AA49" s="1366"/>
      <c r="AB49" s="1366"/>
      <c r="AC49" s="1367"/>
      <c r="AD49" s="1365"/>
      <c r="AE49" s="1366"/>
      <c r="AF49" s="1366"/>
      <c r="AG49" s="1366"/>
      <c r="AH49" s="1366"/>
      <c r="AI49" s="1366"/>
      <c r="AJ49" s="1366"/>
      <c r="AK49" s="1366"/>
      <c r="AL49" s="1366"/>
      <c r="AM49" s="1366"/>
      <c r="AN49" s="1366"/>
      <c r="AO49" s="1366"/>
      <c r="AP49" s="1366"/>
      <c r="AQ49" s="1366"/>
      <c r="AR49" s="1366"/>
      <c r="AS49" s="1366"/>
      <c r="AT49" s="1366"/>
      <c r="AU49" s="1366"/>
      <c r="AV49" s="1366"/>
      <c r="AW49" s="1366"/>
      <c r="AX49" s="1366"/>
      <c r="AY49" s="1366"/>
      <c r="AZ49" s="1366"/>
      <c r="BA49" s="1366"/>
      <c r="BB49" s="1367"/>
      <c r="BC49" s="833" t="s">
        <v>1467</v>
      </c>
      <c r="BE49" s="79"/>
      <c r="BF49" s="79" t="str">
        <f t="shared" si="3"/>
        <v/>
      </c>
      <c r="BG49" s="79"/>
      <c r="BH49" s="79"/>
    </row>
    <row r="50" spans="1:60" s="77" customFormat="1" ht="0" hidden="1" customHeight="1">
      <c r="A50" s="150" t="s">
        <v>253</v>
      </c>
      <c r="B50" s="150" t="s">
        <v>254</v>
      </c>
      <c r="C50" s="150" t="s">
        <v>255</v>
      </c>
      <c r="D50" s="150" t="s">
        <v>2100</v>
      </c>
      <c r="E50" s="1338"/>
      <c r="F50" s="1338"/>
      <c r="G50" s="1338"/>
      <c r="H50" s="1338"/>
      <c r="I50" s="1339" t="str">
        <f>S49&amp;".1"</f>
        <v>.1</v>
      </c>
      <c r="J50" s="150"/>
      <c r="K50" s="150"/>
      <c r="L50" s="373" t="s">
        <v>1468</v>
      </c>
      <c r="M50" s="235"/>
      <c r="N50" s="235"/>
      <c r="O50" s="235"/>
      <c r="P50" s="1259">
        <v>1</v>
      </c>
      <c r="Q50" s="127"/>
      <c r="R50" s="221"/>
      <c r="S50" s="389"/>
      <c r="T50" s="831"/>
      <c r="U50" s="832"/>
      <c r="V50" s="1366"/>
      <c r="W50" s="1366"/>
      <c r="X50" s="1366"/>
      <c r="Y50" s="1366"/>
      <c r="Z50" s="1366"/>
      <c r="AA50" s="1366"/>
      <c r="AB50" s="1366"/>
      <c r="AC50" s="1367"/>
      <c r="AD50" s="1365"/>
      <c r="AE50" s="1366"/>
      <c r="AF50" s="1366"/>
      <c r="AG50" s="1366"/>
      <c r="AH50" s="1366"/>
      <c r="AI50" s="1366"/>
      <c r="AJ50" s="1366"/>
      <c r="AK50" s="1366"/>
      <c r="AL50" s="1366"/>
      <c r="AM50" s="1366"/>
      <c r="AN50" s="1366"/>
      <c r="AO50" s="1366"/>
      <c r="AP50" s="1366"/>
      <c r="AQ50" s="1366"/>
      <c r="AR50" s="1366"/>
      <c r="AS50" s="1366"/>
      <c r="AT50" s="1366"/>
      <c r="AU50" s="1366"/>
      <c r="AV50" s="1366"/>
      <c r="AW50" s="1366"/>
      <c r="AX50" s="1366"/>
      <c r="AY50" s="1366"/>
      <c r="AZ50" s="1366"/>
      <c r="BA50" s="1366"/>
      <c r="BB50" s="1367"/>
      <c r="BC50" s="833"/>
      <c r="BE50" s="79"/>
      <c r="BF50" s="79" t="str">
        <f t="shared" si="3"/>
        <v/>
      </c>
      <c r="BG50" s="79"/>
      <c r="BH50" s="79"/>
    </row>
    <row r="51" spans="1:60" s="77" customFormat="1" ht="0" hidden="1" customHeight="1">
      <c r="A51" s="150" t="s">
        <v>253</v>
      </c>
      <c r="B51" s="150" t="s">
        <v>254</v>
      </c>
      <c r="C51" s="150" t="s">
        <v>255</v>
      </c>
      <c r="D51" s="150" t="s">
        <v>2100</v>
      </c>
      <c r="E51" s="1338"/>
      <c r="F51" s="1338"/>
      <c r="G51" s="1338"/>
      <c r="H51" s="1338"/>
      <c r="I51" s="1340"/>
      <c r="J51" s="1339" t="str">
        <f>S49&amp;".1"</f>
        <v>.1</v>
      </c>
      <c r="K51" s="150"/>
      <c r="L51" s="373"/>
      <c r="M51" s="235"/>
      <c r="N51" s="235"/>
      <c r="O51" s="235"/>
      <c r="P51" s="1259"/>
      <c r="Q51" s="1259">
        <v>1</v>
      </c>
      <c r="R51" s="222"/>
      <c r="S51" s="389"/>
      <c r="T51" s="840"/>
      <c r="U51" s="832"/>
      <c r="V51" s="1366"/>
      <c r="W51" s="1366"/>
      <c r="X51" s="1366"/>
      <c r="Y51" s="1366"/>
      <c r="Z51" s="1366"/>
      <c r="AA51" s="1366"/>
      <c r="AB51" s="1366"/>
      <c r="AC51" s="1367"/>
      <c r="AD51" s="1365"/>
      <c r="AE51" s="1366"/>
      <c r="AF51" s="1366"/>
      <c r="AG51" s="1366"/>
      <c r="AH51" s="1366"/>
      <c r="AI51" s="1366"/>
      <c r="AJ51" s="1366"/>
      <c r="AK51" s="1366"/>
      <c r="AL51" s="1366"/>
      <c r="AM51" s="1366"/>
      <c r="AN51" s="1444"/>
      <c r="AO51" s="1444"/>
      <c r="AP51" s="1366"/>
      <c r="AQ51" s="1366"/>
      <c r="AR51" s="1366"/>
      <c r="AS51" s="1366"/>
      <c r="AT51" s="1366"/>
      <c r="AU51" s="1366"/>
      <c r="AV51" s="1366"/>
      <c r="AW51" s="1366"/>
      <c r="AX51" s="1366"/>
      <c r="AY51" s="1366"/>
      <c r="AZ51" s="1366"/>
      <c r="BA51" s="1366"/>
      <c r="BB51" s="1367"/>
      <c r="BC51" s="833"/>
      <c r="BE51" s="79"/>
      <c r="BF51" s="79" t="str">
        <f t="shared" si="3"/>
        <v/>
      </c>
      <c r="BG51" s="79"/>
      <c r="BH51" s="79"/>
    </row>
    <row r="52" spans="1:60" ht="11.25" customHeight="1">
      <c r="A52" s="822" t="s">
        <v>253</v>
      </c>
      <c r="B52" s="822" t="s">
        <v>254</v>
      </c>
      <c r="C52" s="822" t="s">
        <v>255</v>
      </c>
      <c r="D52" s="822" t="s">
        <v>2100</v>
      </c>
      <c r="E52" s="1338"/>
      <c r="F52" s="1338"/>
      <c r="G52" s="1338"/>
      <c r="H52" s="1338"/>
      <c r="I52" s="1340"/>
      <c r="J52" s="1340"/>
      <c r="K52" s="1339" t="str">
        <f>S48&amp;".1"</f>
        <v>...1</v>
      </c>
      <c r="L52" s="823"/>
      <c r="P52" s="1259"/>
      <c r="Q52" s="1259"/>
      <c r="R52" s="222">
        <v>1</v>
      </c>
      <c r="S52" s="1388" t="str">
        <f>$K52</f>
        <v>...1</v>
      </c>
      <c r="T52" s="1438"/>
      <c r="U52" s="179"/>
      <c r="V52" s="1054"/>
      <c r="W52" s="1056"/>
      <c r="X52" s="1054"/>
      <c r="Y52" s="1056"/>
      <c r="Z52" s="990"/>
      <c r="AA52" s="322" t="s">
        <v>67</v>
      </c>
      <c r="AB52" s="990"/>
      <c r="AC52" s="322" t="s">
        <v>67</v>
      </c>
      <c r="AD52" s="1195" t="s">
        <v>67</v>
      </c>
      <c r="AE52" s="1384"/>
      <c r="AF52" s="1383">
        <v>1</v>
      </c>
      <c r="AG52" s="1437"/>
      <c r="AH52" s="1133" t="s">
        <v>67</v>
      </c>
      <c r="AI52" s="1384"/>
      <c r="AJ52" s="1383">
        <v>1</v>
      </c>
      <c r="AK52" s="1436" t="s">
        <v>17</v>
      </c>
      <c r="AL52" s="1133" t="s">
        <v>67</v>
      </c>
      <c r="AM52" s="1183"/>
      <c r="AN52" s="1383">
        <v>1</v>
      </c>
      <c r="AO52" s="1441"/>
      <c r="AP52" s="1442" t="s">
        <v>67</v>
      </c>
      <c r="AQ52" s="190"/>
      <c r="AR52" s="820">
        <v>1</v>
      </c>
      <c r="AS52" s="165" t="s">
        <v>17</v>
      </c>
      <c r="AT52" s="1054"/>
      <c r="AU52" s="1056"/>
      <c r="AV52" s="1054"/>
      <c r="AW52" s="1056"/>
      <c r="AX52" s="990"/>
      <c r="AY52" s="322" t="s">
        <v>67</v>
      </c>
      <c r="AZ52" s="990"/>
      <c r="BA52" s="322" t="s">
        <v>67</v>
      </c>
      <c r="BB52" s="1060"/>
      <c r="BC52" s="1359" t="s">
        <v>1701</v>
      </c>
      <c r="BE52" s="79"/>
      <c r="BF52" s="79" t="str">
        <f t="shared" si="3"/>
        <v/>
      </c>
      <c r="BG52" s="79"/>
      <c r="BH52" s="79"/>
    </row>
    <row r="53" spans="1:60" ht="11.25" customHeight="1">
      <c r="A53" s="822"/>
      <c r="B53" s="822"/>
      <c r="C53" s="822"/>
      <c r="D53" s="822"/>
      <c r="E53" s="1338"/>
      <c r="F53" s="1338"/>
      <c r="G53" s="1338"/>
      <c r="H53" s="1338"/>
      <c r="I53" s="1340"/>
      <c r="J53" s="1340"/>
      <c r="K53" s="1339"/>
      <c r="L53" s="823"/>
      <c r="P53" s="1259"/>
      <c r="Q53" s="1259"/>
      <c r="R53" s="222"/>
      <c r="S53" s="1389"/>
      <c r="T53" s="1439"/>
      <c r="U53" s="179"/>
      <c r="V53" s="1067"/>
      <c r="W53" s="1071"/>
      <c r="X53" s="1067"/>
      <c r="Y53" s="1071"/>
      <c r="Z53" s="1067"/>
      <c r="AA53" s="1067"/>
      <c r="AB53" s="1067"/>
      <c r="AC53" s="1067"/>
      <c r="AD53" s="1196"/>
      <c r="AE53" s="1384"/>
      <c r="AF53" s="1383"/>
      <c r="AG53" s="1437"/>
      <c r="AH53" s="1133"/>
      <c r="AI53" s="1384"/>
      <c r="AJ53" s="1383"/>
      <c r="AK53" s="1436"/>
      <c r="AL53" s="1133"/>
      <c r="AM53" s="1188"/>
      <c r="AN53" s="1383"/>
      <c r="AO53" s="1441"/>
      <c r="AP53" s="1443"/>
      <c r="AQ53" s="195"/>
      <c r="AR53" s="62"/>
      <c r="AS53" s="62" t="s">
        <v>1702</v>
      </c>
      <c r="AT53" s="1067"/>
      <c r="AU53" s="1071"/>
      <c r="AV53" s="1067"/>
      <c r="AW53" s="1071"/>
      <c r="AX53" s="1067"/>
      <c r="AY53" s="1067"/>
      <c r="AZ53" s="1067"/>
      <c r="BA53" s="1067"/>
      <c r="BB53" s="1070"/>
      <c r="BC53" s="1360"/>
      <c r="BE53" s="79"/>
      <c r="BF53" s="79"/>
      <c r="BG53" s="79"/>
      <c r="BH53" s="79"/>
    </row>
    <row r="54" spans="1:60" ht="11.25" customHeight="1">
      <c r="A54" s="822" t="s">
        <v>253</v>
      </c>
      <c r="B54" s="822"/>
      <c r="C54" s="822"/>
      <c r="D54" s="822"/>
      <c r="E54" s="1338"/>
      <c r="F54" s="1338"/>
      <c r="G54" s="1338"/>
      <c r="H54" s="1338"/>
      <c r="I54" s="1340"/>
      <c r="J54" s="1340"/>
      <c r="K54" s="1339"/>
      <c r="L54" s="823"/>
      <c r="P54" s="1259"/>
      <c r="Q54" s="1259"/>
      <c r="R54" s="222"/>
      <c r="S54" s="1389"/>
      <c r="T54" s="1439"/>
      <c r="U54" s="179"/>
      <c r="V54" s="1067"/>
      <c r="W54" s="1071"/>
      <c r="X54" s="1067"/>
      <c r="Y54" s="1071"/>
      <c r="Z54" s="1067"/>
      <c r="AA54" s="1067"/>
      <c r="AB54" s="1067"/>
      <c r="AC54" s="1067"/>
      <c r="AD54" s="1196"/>
      <c r="AE54" s="1384"/>
      <c r="AF54" s="1383"/>
      <c r="AG54" s="1437"/>
      <c r="AH54" s="1133"/>
      <c r="AI54" s="1384"/>
      <c r="AJ54" s="1383"/>
      <c r="AK54" s="1436"/>
      <c r="AL54" s="1133"/>
      <c r="AM54" s="195"/>
      <c r="AN54" s="861"/>
      <c r="AO54" s="861" t="s">
        <v>1703</v>
      </c>
      <c r="AP54" s="62"/>
      <c r="AQ54" s="62"/>
      <c r="AR54" s="62"/>
      <c r="AS54" s="1067"/>
      <c r="AT54" s="1067"/>
      <c r="AU54" s="1071"/>
      <c r="AV54" s="1067"/>
      <c r="AW54" s="1071"/>
      <c r="AX54" s="1067"/>
      <c r="AY54" s="1067"/>
      <c r="AZ54" s="1067"/>
      <c r="BA54" s="1067"/>
      <c r="BB54" s="1070"/>
      <c r="BC54" s="1360"/>
      <c r="BE54" s="79"/>
      <c r="BF54" s="79"/>
      <c r="BG54" s="79"/>
      <c r="BH54" s="79"/>
    </row>
    <row r="55" spans="1:60" ht="11.25" customHeight="1">
      <c r="A55" s="822" t="s">
        <v>253</v>
      </c>
      <c r="B55" s="822"/>
      <c r="C55" s="822"/>
      <c r="D55" s="822"/>
      <c r="E55" s="1338"/>
      <c r="F55" s="1338"/>
      <c r="G55" s="1338"/>
      <c r="H55" s="1338"/>
      <c r="I55" s="1340"/>
      <c r="J55" s="1340"/>
      <c r="K55" s="1339"/>
      <c r="L55" s="823"/>
      <c r="P55" s="1259"/>
      <c r="Q55" s="1259"/>
      <c r="R55" s="222"/>
      <c r="S55" s="1389"/>
      <c r="T55" s="1439"/>
      <c r="U55" s="179"/>
      <c r="V55" s="1067"/>
      <c r="W55" s="1071"/>
      <c r="X55" s="1067"/>
      <c r="Y55" s="1071"/>
      <c r="Z55" s="1067"/>
      <c r="AA55" s="1067"/>
      <c r="AB55" s="1067"/>
      <c r="AC55" s="1067"/>
      <c r="AD55" s="1196"/>
      <c r="AE55" s="1384"/>
      <c r="AF55" s="1383"/>
      <c r="AG55" s="1437"/>
      <c r="AH55" s="1133"/>
      <c r="AI55" s="177"/>
      <c r="AJ55" s="116"/>
      <c r="AK55" s="192" t="s">
        <v>1704</v>
      </c>
      <c r="AL55" s="1067"/>
      <c r="AM55" s="1067"/>
      <c r="AN55" s="1067"/>
      <c r="AO55" s="1067"/>
      <c r="AP55" s="1067"/>
      <c r="AQ55" s="1067"/>
      <c r="AR55" s="1067"/>
      <c r="AS55" s="1067"/>
      <c r="AT55" s="1067"/>
      <c r="AU55" s="1071"/>
      <c r="AV55" s="1067"/>
      <c r="AW55" s="1071"/>
      <c r="AX55" s="1067"/>
      <c r="AY55" s="1067"/>
      <c r="AZ55" s="1067"/>
      <c r="BA55" s="1067"/>
      <c r="BB55" s="1070"/>
      <c r="BC55" s="1360"/>
      <c r="BE55" s="79"/>
      <c r="BF55" s="79"/>
      <c r="BG55" s="79"/>
      <c r="BH55" s="79"/>
    </row>
    <row r="56" spans="1:60" ht="11.25" customHeight="1">
      <c r="A56" s="822" t="s">
        <v>253</v>
      </c>
      <c r="B56" s="822" t="s">
        <v>254</v>
      </c>
      <c r="C56" s="822" t="s">
        <v>255</v>
      </c>
      <c r="D56" s="822" t="s">
        <v>2100</v>
      </c>
      <c r="E56" s="1338"/>
      <c r="F56" s="1338"/>
      <c r="G56" s="1338"/>
      <c r="H56" s="1338"/>
      <c r="I56" s="1340"/>
      <c r="J56" s="1340"/>
      <c r="K56" s="1339"/>
      <c r="L56" s="823"/>
      <c r="P56" s="1259"/>
      <c r="Q56" s="1259"/>
      <c r="R56" s="222"/>
      <c r="S56" s="1390"/>
      <c r="T56" s="1440"/>
      <c r="U56" s="179"/>
      <c r="V56" s="1067"/>
      <c r="W56" s="1068" t="str">
        <f>Z52&amp;"-"&amp;AB52</f>
        <v>-</v>
      </c>
      <c r="X56" s="1067"/>
      <c r="Y56" s="1068" t="str">
        <f>AB52&amp;"-"&amp;AD52</f>
        <v>-да</v>
      </c>
      <c r="Z56" s="1067"/>
      <c r="AA56" s="1067"/>
      <c r="AB56" s="1067"/>
      <c r="AC56" s="1067"/>
      <c r="AD56" s="1138"/>
      <c r="AE56" s="191"/>
      <c r="AF56" s="193"/>
      <c r="AG56" s="62" t="s">
        <v>1705</v>
      </c>
      <c r="AH56" s="1067"/>
      <c r="AI56" s="1067"/>
      <c r="AJ56" s="1067"/>
      <c r="AK56" s="1067"/>
      <c r="AL56" s="1067"/>
      <c r="AM56" s="1067"/>
      <c r="AN56" s="1067"/>
      <c r="AO56" s="1067"/>
      <c r="AP56" s="1067"/>
      <c r="AQ56" s="1067"/>
      <c r="AR56" s="1067"/>
      <c r="AS56" s="1067"/>
      <c r="AT56" s="1067"/>
      <c r="AU56" s="1068" t="str">
        <f>AX52&amp;"-"&amp;AZ52</f>
        <v>-</v>
      </c>
      <c r="AV56" s="1067"/>
      <c r="AW56" s="1068" t="str">
        <f>AZ52&amp;"-"&amp;BB52</f>
        <v>-</v>
      </c>
      <c r="AX56" s="1067"/>
      <c r="AY56" s="1067"/>
      <c r="AZ56" s="1067"/>
      <c r="BA56" s="1067"/>
      <c r="BB56" s="1073" t="str">
        <f>BE52&amp;"-"&amp;BG52</f>
        <v>-</v>
      </c>
      <c r="BC56" s="1360"/>
      <c r="BE56" s="79"/>
      <c r="BF56" s="79" t="str">
        <f t="shared" ref="BF56:BF63" si="4">IF(T56="","",T56)</f>
        <v/>
      </c>
      <c r="BG56" s="79"/>
      <c r="BH56" s="79"/>
    </row>
    <row r="57" spans="1:60" ht="11.25" customHeight="1">
      <c r="A57" s="822" t="s">
        <v>253</v>
      </c>
      <c r="B57" s="822" t="s">
        <v>254</v>
      </c>
      <c r="C57" s="822" t="s">
        <v>255</v>
      </c>
      <c r="D57" s="822" t="s">
        <v>2100</v>
      </c>
      <c r="E57" s="1338"/>
      <c r="F57" s="1338"/>
      <c r="G57" s="1338"/>
      <c r="H57" s="1338"/>
      <c r="I57" s="1340"/>
      <c r="J57" s="1339"/>
      <c r="K57" s="822"/>
      <c r="L57" s="823"/>
      <c r="P57" s="1259"/>
      <c r="Q57" s="1259"/>
      <c r="R57" s="221"/>
      <c r="S57" s="796"/>
      <c r="T57" s="174" t="s">
        <v>1542</v>
      </c>
      <c r="U57" s="228"/>
      <c r="V57" s="228"/>
      <c r="W57" s="228"/>
      <c r="X57" s="228"/>
      <c r="Y57" s="228"/>
      <c r="Z57" s="228"/>
      <c r="AA57" s="228"/>
      <c r="AB57" s="228"/>
      <c r="AC57" s="204"/>
      <c r="AD57" s="865"/>
      <c r="AE57" s="228"/>
      <c r="AF57" s="228"/>
      <c r="AG57" s="228"/>
      <c r="AH57" s="228"/>
      <c r="AI57" s="228"/>
      <c r="AJ57" s="228"/>
      <c r="AK57" s="228"/>
      <c r="AL57" s="228"/>
      <c r="AM57" s="228"/>
      <c r="AN57" s="228"/>
      <c r="AO57" s="228"/>
      <c r="AP57" s="228"/>
      <c r="AQ57" s="228"/>
      <c r="AR57" s="228"/>
      <c r="AS57" s="228"/>
      <c r="AT57" s="228"/>
      <c r="AU57" s="228"/>
      <c r="AV57" s="228"/>
      <c r="AW57" s="228"/>
      <c r="AX57" s="228"/>
      <c r="AY57" s="228"/>
      <c r="AZ57" s="228"/>
      <c r="BA57" s="228"/>
      <c r="BB57" s="204"/>
      <c r="BC57" s="1361"/>
      <c r="BE57" s="79"/>
      <c r="BF57" s="79" t="str">
        <f t="shared" si="4"/>
        <v>Добавить строку</v>
      </c>
      <c r="BG57" s="79"/>
      <c r="BH57" s="79"/>
    </row>
    <row r="58" spans="1:60" s="77" customFormat="1" ht="0" hidden="1" customHeight="1">
      <c r="A58" s="150" t="s">
        <v>253</v>
      </c>
      <c r="B58" s="150" t="s">
        <v>254</v>
      </c>
      <c r="C58" s="150" t="s">
        <v>255</v>
      </c>
      <c r="D58" s="150" t="s">
        <v>2100</v>
      </c>
      <c r="E58" s="1338"/>
      <c r="F58" s="1338"/>
      <c r="G58" s="1338"/>
      <c r="H58" s="1338"/>
      <c r="I58" s="1339"/>
      <c r="J58" s="150"/>
      <c r="K58" s="150"/>
      <c r="L58" s="373"/>
      <c r="M58" s="235"/>
      <c r="N58" s="235"/>
      <c r="O58" s="235"/>
      <c r="P58" s="1259"/>
      <c r="Q58" s="127"/>
      <c r="R58" s="221"/>
      <c r="S58" s="834"/>
      <c r="T58" s="835"/>
      <c r="U58" s="836"/>
      <c r="V58" s="836"/>
      <c r="W58" s="836"/>
      <c r="X58" s="836"/>
      <c r="Y58" s="836"/>
      <c r="Z58" s="836"/>
      <c r="AA58" s="836"/>
      <c r="AB58" s="836"/>
      <c r="AC58" s="836"/>
      <c r="AD58" s="836"/>
      <c r="AE58" s="836"/>
      <c r="AF58" s="836"/>
      <c r="AG58" s="836"/>
      <c r="AH58" s="836"/>
      <c r="AI58" s="836"/>
      <c r="AJ58" s="836"/>
      <c r="AK58" s="836"/>
      <c r="AL58" s="836"/>
      <c r="AM58" s="836"/>
      <c r="AN58" s="836"/>
      <c r="AO58" s="836"/>
      <c r="AP58" s="836"/>
      <c r="AQ58" s="836"/>
      <c r="AR58" s="836"/>
      <c r="AS58" s="836"/>
      <c r="AT58" s="836"/>
      <c r="AU58" s="836"/>
      <c r="AV58" s="836"/>
      <c r="AW58" s="836"/>
      <c r="AX58" s="836"/>
      <c r="AY58" s="836"/>
      <c r="AZ58" s="836"/>
      <c r="BA58" s="836"/>
      <c r="BB58" s="836"/>
      <c r="BC58" s="837"/>
      <c r="BE58" s="79"/>
      <c r="BF58" s="79" t="str">
        <f t="shared" si="4"/>
        <v/>
      </c>
      <c r="BG58" s="79"/>
      <c r="BH58" s="79"/>
    </row>
    <row r="59" spans="1:60" s="77" customFormat="1" ht="0" hidden="1" customHeight="1">
      <c r="A59" s="150" t="s">
        <v>253</v>
      </c>
      <c r="B59" s="150" t="s">
        <v>254</v>
      </c>
      <c r="C59" s="150" t="s">
        <v>255</v>
      </c>
      <c r="D59" s="150" t="s">
        <v>2100</v>
      </c>
      <c r="E59" s="1338"/>
      <c r="F59" s="1338"/>
      <c r="G59" s="1338"/>
      <c r="H59" s="1337"/>
      <c r="I59" s="150"/>
      <c r="J59" s="150"/>
      <c r="K59" s="150"/>
      <c r="L59" s="373"/>
      <c r="M59" s="318"/>
      <c r="N59" s="318"/>
      <c r="P59" s="111"/>
      <c r="Q59" s="811"/>
      <c r="R59" s="842"/>
      <c r="S59" s="834"/>
      <c r="T59" s="835"/>
      <c r="U59" s="836"/>
      <c r="V59" s="836"/>
      <c r="W59" s="836"/>
      <c r="X59" s="836"/>
      <c r="Y59" s="836"/>
      <c r="Z59" s="836"/>
      <c r="AA59" s="836"/>
      <c r="AB59" s="836"/>
      <c r="AC59" s="836"/>
      <c r="AD59" s="836"/>
      <c r="AE59" s="836"/>
      <c r="AF59" s="836"/>
      <c r="AG59" s="836"/>
      <c r="AH59" s="836"/>
      <c r="AI59" s="836"/>
      <c r="AJ59" s="836"/>
      <c r="AK59" s="836"/>
      <c r="AL59" s="836"/>
      <c r="AM59" s="836"/>
      <c r="AN59" s="836"/>
      <c r="AO59" s="836"/>
      <c r="AP59" s="836"/>
      <c r="AQ59" s="836"/>
      <c r="AR59" s="836"/>
      <c r="AS59" s="836"/>
      <c r="AT59" s="836"/>
      <c r="AU59" s="836"/>
      <c r="AV59" s="836"/>
      <c r="AW59" s="836"/>
      <c r="AX59" s="836"/>
      <c r="AY59" s="836"/>
      <c r="AZ59" s="836"/>
      <c r="BA59" s="836"/>
      <c r="BB59" s="836"/>
      <c r="BC59" s="837"/>
      <c r="BE59" s="79"/>
      <c r="BF59" s="79" t="str">
        <f t="shared" si="4"/>
        <v/>
      </c>
      <c r="BG59" s="79"/>
      <c r="BH59" s="79"/>
    </row>
    <row r="60" spans="1:60" s="77" customFormat="1" ht="0" hidden="1" customHeight="1">
      <c r="A60" s="150" t="s">
        <v>253</v>
      </c>
      <c r="B60" s="150" t="s">
        <v>254</v>
      </c>
      <c r="C60" s="150" t="s">
        <v>255</v>
      </c>
      <c r="D60" s="150"/>
      <c r="E60" s="1338"/>
      <c r="F60" s="1338"/>
      <c r="G60" s="1337"/>
      <c r="H60" s="150"/>
      <c r="I60" s="150"/>
      <c r="J60" s="150"/>
      <c r="K60" s="150"/>
      <c r="L60" s="373"/>
      <c r="M60" s="318"/>
      <c r="N60" s="318"/>
      <c r="P60" s="111"/>
      <c r="Q60" s="811"/>
      <c r="R60" s="111"/>
      <c r="S60" s="816"/>
      <c r="T60" s="818"/>
      <c r="U60" s="338"/>
      <c r="V60" s="338"/>
      <c r="W60" s="338"/>
      <c r="X60" s="338"/>
      <c r="Y60" s="338"/>
      <c r="Z60" s="338"/>
      <c r="AA60" s="338"/>
      <c r="AB60" s="338"/>
      <c r="AC60" s="338"/>
      <c r="AD60" s="338"/>
      <c r="AE60" s="338"/>
      <c r="AF60" s="338"/>
      <c r="AG60" s="338"/>
      <c r="AH60" s="338"/>
      <c r="AI60" s="338"/>
      <c r="AJ60" s="338"/>
      <c r="AK60" s="338"/>
      <c r="AL60" s="338"/>
      <c r="AM60" s="338"/>
      <c r="AN60" s="338"/>
      <c r="AO60" s="338"/>
      <c r="AP60" s="338"/>
      <c r="AQ60" s="338"/>
      <c r="AR60" s="338"/>
      <c r="AS60" s="338"/>
      <c r="AT60" s="338"/>
      <c r="AU60" s="338"/>
      <c r="AV60" s="338"/>
      <c r="AW60" s="338"/>
      <c r="AX60" s="338"/>
      <c r="AY60" s="338"/>
      <c r="AZ60" s="338"/>
      <c r="BA60" s="338"/>
      <c r="BB60" s="338"/>
      <c r="BC60" s="338"/>
      <c r="BE60" s="79"/>
      <c r="BF60" s="79" t="str">
        <f t="shared" si="4"/>
        <v/>
      </c>
      <c r="BG60" s="79"/>
      <c r="BH60" s="79"/>
    </row>
    <row r="61" spans="1:60" s="77" customFormat="1" ht="0" hidden="1" customHeight="1">
      <c r="A61" s="150" t="s">
        <v>253</v>
      </c>
      <c r="B61" s="150" t="s">
        <v>254</v>
      </c>
      <c r="C61" s="150"/>
      <c r="D61" s="150"/>
      <c r="E61" s="1338"/>
      <c r="F61" s="1337"/>
      <c r="G61" s="150"/>
      <c r="H61" s="150"/>
      <c r="I61" s="150"/>
      <c r="J61" s="150"/>
      <c r="K61" s="150"/>
      <c r="L61" s="373"/>
      <c r="M61" s="815"/>
      <c r="N61" s="815"/>
      <c r="P61" s="111"/>
      <c r="Q61" s="811"/>
      <c r="R61" s="111"/>
      <c r="S61" s="816"/>
      <c r="T61" s="818" t="s">
        <v>1438</v>
      </c>
      <c r="U61" s="338"/>
      <c r="V61" s="338"/>
      <c r="W61" s="338"/>
      <c r="X61" s="338"/>
      <c r="Y61" s="338"/>
      <c r="Z61" s="338"/>
      <c r="AA61" s="338"/>
      <c r="AB61" s="338"/>
      <c r="AC61" s="338"/>
      <c r="AD61" s="338"/>
      <c r="AE61" s="338"/>
      <c r="AF61" s="338"/>
      <c r="AG61" s="338"/>
      <c r="AH61" s="338"/>
      <c r="AI61" s="338"/>
      <c r="AJ61" s="338"/>
      <c r="AK61" s="338"/>
      <c r="AL61" s="338"/>
      <c r="AM61" s="338"/>
      <c r="AN61" s="338"/>
      <c r="AO61" s="338"/>
      <c r="AP61" s="338"/>
      <c r="AQ61" s="338"/>
      <c r="AR61" s="338"/>
      <c r="AS61" s="338"/>
      <c r="AT61" s="338"/>
      <c r="AU61" s="338"/>
      <c r="AV61" s="338"/>
      <c r="AW61" s="338"/>
      <c r="AX61" s="338"/>
      <c r="AY61" s="338"/>
      <c r="AZ61" s="338"/>
      <c r="BA61" s="338"/>
      <c r="BB61" s="338"/>
      <c r="BC61" s="338"/>
      <c r="BE61" s="79"/>
      <c r="BF61" s="79" t="str">
        <f t="shared" si="4"/>
        <v>Добавить централизованную систему для дифференциации</v>
      </c>
      <c r="BG61" s="79"/>
      <c r="BH61" s="79"/>
    </row>
    <row r="62" spans="1:60" s="77" customFormat="1" ht="0" hidden="1" customHeight="1">
      <c r="A62" s="150" t="s">
        <v>253</v>
      </c>
      <c r="B62" s="150"/>
      <c r="C62" s="150"/>
      <c r="D62" s="150"/>
      <c r="E62" s="1337"/>
      <c r="F62" s="150"/>
      <c r="G62" s="150"/>
      <c r="H62" s="150"/>
      <c r="I62" s="150"/>
      <c r="J62" s="150"/>
      <c r="K62" s="150"/>
      <c r="L62" s="373"/>
      <c r="M62" s="815"/>
      <c r="N62" s="815"/>
      <c r="P62" s="111"/>
      <c r="Q62" s="811"/>
      <c r="R62" s="111"/>
      <c r="S62" s="816"/>
      <c r="T62" s="818" t="s">
        <v>1439</v>
      </c>
      <c r="U62" s="338"/>
      <c r="V62" s="338"/>
      <c r="W62" s="338"/>
      <c r="X62" s="338"/>
      <c r="Y62" s="338"/>
      <c r="Z62" s="338"/>
      <c r="AA62" s="338"/>
      <c r="AB62" s="338"/>
      <c r="AC62" s="338"/>
      <c r="AD62" s="338"/>
      <c r="AE62" s="338"/>
      <c r="AF62" s="338"/>
      <c r="AG62" s="338"/>
      <c r="AH62" s="338"/>
      <c r="AI62" s="338"/>
      <c r="AJ62" s="338"/>
      <c r="AK62" s="338"/>
      <c r="AL62" s="338"/>
      <c r="AM62" s="338"/>
      <c r="AN62" s="338"/>
      <c r="AO62" s="338"/>
      <c r="AP62" s="338"/>
      <c r="AQ62" s="338"/>
      <c r="AR62" s="338"/>
      <c r="AS62" s="338"/>
      <c r="AT62" s="338"/>
      <c r="AU62" s="338"/>
      <c r="AV62" s="338"/>
      <c r="AW62" s="338"/>
      <c r="AX62" s="338"/>
      <c r="AY62" s="338"/>
      <c r="AZ62" s="338"/>
      <c r="BA62" s="338"/>
      <c r="BB62" s="338"/>
      <c r="BC62" s="338"/>
      <c r="BE62" s="79"/>
      <c r="BF62" s="79" t="str">
        <f t="shared" si="4"/>
        <v>Добавить территорию для дифференциации</v>
      </c>
      <c r="BG62" s="79"/>
      <c r="BH62" s="79"/>
    </row>
    <row r="63" spans="1:60" s="77" customFormat="1" ht="0" hidden="1" customHeight="1">
      <c r="A63" s="150"/>
      <c r="B63" s="150"/>
      <c r="C63" s="150"/>
      <c r="D63" s="150"/>
      <c r="E63" s="150"/>
      <c r="F63" s="150"/>
      <c r="G63" s="150"/>
      <c r="H63" s="150"/>
      <c r="I63" s="150"/>
      <c r="J63" s="150"/>
      <c r="K63" s="150"/>
      <c r="L63" s="373"/>
      <c r="M63" s="815"/>
      <c r="N63" s="815"/>
      <c r="P63" s="111"/>
      <c r="Q63" s="811"/>
      <c r="R63" s="111"/>
      <c r="S63" s="816"/>
      <c r="T63" s="818" t="s">
        <v>1440</v>
      </c>
      <c r="U63" s="338"/>
      <c r="V63" s="338"/>
      <c r="W63" s="338"/>
      <c r="X63" s="338"/>
      <c r="Y63" s="338"/>
      <c r="Z63" s="338"/>
      <c r="AA63" s="338"/>
      <c r="AB63" s="338"/>
      <c r="AC63" s="338"/>
      <c r="AD63" s="338"/>
      <c r="AE63" s="338"/>
      <c r="AF63" s="338"/>
      <c r="AG63" s="338"/>
      <c r="AH63" s="338"/>
      <c r="AI63" s="338"/>
      <c r="AJ63" s="338"/>
      <c r="AK63" s="338"/>
      <c r="AL63" s="338"/>
      <c r="AM63" s="338"/>
      <c r="AN63" s="338"/>
      <c r="AO63" s="338"/>
      <c r="AP63" s="338"/>
      <c r="AQ63" s="338"/>
      <c r="AR63" s="338"/>
      <c r="AS63" s="338"/>
      <c r="AT63" s="338"/>
      <c r="AU63" s="338"/>
      <c r="AV63" s="338"/>
      <c r="AW63" s="338"/>
      <c r="AX63" s="338"/>
      <c r="AY63" s="338"/>
      <c r="AZ63" s="338"/>
      <c r="BA63" s="338"/>
      <c r="BB63" s="338"/>
      <c r="BC63" s="338"/>
      <c r="BE63" s="79"/>
      <c r="BF63" s="79" t="str">
        <f t="shared" si="4"/>
        <v>Добавить наименование тарифа</v>
      </c>
      <c r="BG63" s="79"/>
      <c r="BH63" s="79"/>
    </row>
    <row r="64" spans="1:60" ht="11.25" hidden="1" customHeight="1">
      <c r="M64" s="72"/>
      <c r="N64" s="72"/>
      <c r="O64" s="72"/>
      <c r="P64" s="72"/>
      <c r="Q64" s="72"/>
      <c r="R64" s="24"/>
      <c r="S64" s="24"/>
      <c r="BD64" s="24"/>
      <c r="BE64" s="24"/>
      <c r="BF64" s="24"/>
      <c r="BG64" s="24"/>
      <c r="BH64" s="24"/>
    </row>
    <row r="65" spans="15:55" ht="18.75" hidden="1" customHeight="1">
      <c r="O65" s="72"/>
      <c r="S65" s="210" t="s">
        <v>1510</v>
      </c>
      <c r="T65" s="1336" t="s">
        <v>1716</v>
      </c>
      <c r="U65" s="1336"/>
      <c r="V65" s="1336"/>
      <c r="W65" s="1336"/>
      <c r="X65" s="1336"/>
      <c r="Y65" s="1336"/>
      <c r="Z65" s="1336"/>
      <c r="AA65" s="1336"/>
      <c r="AB65" s="1336"/>
      <c r="AC65" s="1336"/>
      <c r="AD65" s="1336"/>
      <c r="AE65" s="1336"/>
      <c r="AF65" s="1336"/>
      <c r="AG65" s="1336"/>
      <c r="AH65" s="1336"/>
      <c r="AI65" s="1336"/>
      <c r="AJ65" s="1336"/>
      <c r="AK65" s="1336"/>
      <c r="AL65" s="1336"/>
      <c r="AM65" s="1336"/>
      <c r="AN65" s="1336"/>
      <c r="AO65" s="1336"/>
      <c r="AP65" s="1336"/>
      <c r="AQ65" s="1336"/>
      <c r="AR65" s="1336"/>
      <c r="AS65" s="1336"/>
      <c r="AT65" s="1336"/>
      <c r="AU65" s="1336"/>
      <c r="AV65" s="1336"/>
      <c r="AW65" s="1336"/>
      <c r="AX65" s="1336"/>
      <c r="AY65" s="1336"/>
      <c r="AZ65" s="1336"/>
      <c r="BA65" s="1336"/>
      <c r="BB65" s="1336"/>
      <c r="BC65" s="1336"/>
    </row>
    <row r="66" spans="15:55" ht="14.25" hidden="1" customHeight="1">
      <c r="O66" s="72"/>
      <c r="T66" s="399"/>
      <c r="U66" s="399"/>
      <c r="V66" s="399"/>
      <c r="W66" s="399"/>
      <c r="X66" s="399"/>
      <c r="Y66" s="399"/>
      <c r="Z66" s="399"/>
      <c r="AA66" s="399"/>
      <c r="AB66" s="399"/>
      <c r="AC66" s="399"/>
      <c r="AD66" s="399"/>
      <c r="AE66" s="399"/>
      <c r="AF66" s="399"/>
      <c r="AG66" s="399"/>
      <c r="AH66" s="399"/>
      <c r="AI66" s="399"/>
      <c r="AJ66" s="399"/>
      <c r="AK66" s="399"/>
      <c r="AL66" s="399"/>
      <c r="AM66" s="399"/>
      <c r="AN66" s="399"/>
      <c r="AO66" s="399"/>
      <c r="AP66" s="399"/>
      <c r="AQ66" s="399"/>
      <c r="AR66" s="399"/>
      <c r="AS66" s="399"/>
      <c r="AT66" s="399"/>
      <c r="AU66" s="399"/>
      <c r="AV66" s="399"/>
      <c r="AW66" s="399"/>
      <c r="AX66" s="399"/>
      <c r="AY66" s="399"/>
      <c r="AZ66" s="399"/>
      <c r="BA66" s="399"/>
      <c r="BB66" s="399"/>
      <c r="BC66" s="399"/>
    </row>
    <row r="67" spans="15:55" ht="18.75" hidden="1" customHeight="1">
      <c r="O67" s="72"/>
      <c r="S67" s="210" t="s">
        <v>1510</v>
      </c>
      <c r="T67" s="1336" t="s">
        <v>1680</v>
      </c>
      <c r="U67" s="1336"/>
      <c r="V67" s="1336"/>
      <c r="W67" s="1336"/>
      <c r="X67" s="1336"/>
      <c r="Y67" s="1336"/>
      <c r="Z67" s="1336"/>
      <c r="AA67" s="1336"/>
      <c r="AB67" s="1336"/>
      <c r="AC67" s="1336"/>
      <c r="AD67" s="1336"/>
      <c r="AE67" s="1336"/>
      <c r="AF67" s="1336"/>
      <c r="AG67" s="1336"/>
      <c r="AH67" s="1336"/>
      <c r="AI67" s="1336"/>
      <c r="AJ67" s="1336"/>
      <c r="AK67" s="1336"/>
      <c r="AL67" s="1336"/>
      <c r="AM67" s="1336"/>
      <c r="AN67" s="1336"/>
      <c r="AO67" s="1336"/>
      <c r="AP67" s="1336"/>
      <c r="AQ67" s="1336"/>
      <c r="AR67" s="1336"/>
      <c r="AS67" s="1336"/>
      <c r="AT67" s="1336"/>
      <c r="AU67" s="1336"/>
      <c r="AV67" s="1336"/>
      <c r="AW67" s="1336"/>
      <c r="AX67" s="1336"/>
      <c r="AY67" s="1336"/>
      <c r="AZ67" s="1336"/>
      <c r="BA67" s="1336"/>
      <c r="BB67" s="1336"/>
      <c r="BC67" s="1336"/>
    </row>
    <row r="68" spans="15:55" ht="14.25" customHeight="1">
      <c r="O68" s="72"/>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32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32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32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32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32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3200-000005000000}"/>
    <dataValidation type="decimal" allowBlank="1" showErrorMessage="1" errorTitle="Ошибка" error="Допускается ввод только действительных чисел!" sqref="AO52:AO53 AG8:AG11 AO8:AO9 AG52:AG55" xr:uid="{00000000-0002-0000-32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32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32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4E5862-9A7A-41C3-1584-BC7E0F1F8713}">
  <sheetPr>
    <tabColor theme="6" tint="0.39997558519241921"/>
  </sheetPr>
  <dimension ref="A1:AP57"/>
  <sheetViews>
    <sheetView showGridLines="0" topLeftCell="P23" workbookViewId="0"/>
  </sheetViews>
  <sheetFormatPr defaultColWidth="10.5703125" defaultRowHeight="14.25" customHeight="1"/>
  <cols>
    <col min="1" max="1" width="10.5703125" style="72" hidden="1"/>
    <col min="2" max="2" width="11" style="72" hidden="1" customWidth="1"/>
    <col min="3" max="3" width="10.5703125" style="72" hidden="1"/>
    <col min="4" max="4" width="11.85546875" style="72" hidden="1" customWidth="1"/>
    <col min="5" max="5" width="10" style="72" hidden="1" customWidth="1"/>
    <col min="6" max="6" width="8.7109375" style="72" hidden="1" customWidth="1"/>
    <col min="7" max="7" width="7.5703125" style="72" hidden="1" customWidth="1"/>
    <col min="8" max="8" width="11.42578125" style="72" hidden="1" customWidth="1"/>
    <col min="9" max="9" width="14.140625" style="72" hidden="1" customWidth="1"/>
    <col min="10" max="10" width="9.85546875" style="72" hidden="1" customWidth="1"/>
    <col min="11" max="11" width="14.7109375" style="72" hidden="1" customWidth="1"/>
    <col min="12" max="12" width="19.140625" style="388" hidden="1" customWidth="1"/>
    <col min="13" max="14" width="12.28515625" style="541" hidden="1" customWidth="1"/>
    <col min="15" max="15" width="23.42578125" style="541" hidden="1" customWidth="1"/>
    <col min="16" max="16" width="3.7109375" style="42" customWidth="1"/>
    <col min="17" max="18" width="3.7109375" style="37" customWidth="1"/>
    <col min="19" max="19" width="12.7109375" style="368" customWidth="1"/>
    <col min="20" max="20" width="35.7109375" style="24" customWidth="1"/>
    <col min="21" max="21" width="0.140625" style="24" customWidth="1"/>
    <col min="22" max="24" width="24.7109375" style="24" hidden="1" customWidth="1"/>
    <col min="25" max="25" width="11.7109375" style="24" hidden="1" customWidth="1"/>
    <col min="26" max="26" width="3.7109375" style="24" hidden="1" customWidth="1"/>
    <col min="27" max="27" width="11.7109375" style="24" hidden="1" customWidth="1"/>
    <col min="28" max="28" width="8.5703125" style="24" hidden="1" customWidth="1"/>
    <col min="29" max="31" width="24.7109375" style="24" customWidth="1"/>
    <col min="32" max="32" width="11.7109375" style="24" customWidth="1"/>
    <col min="33" max="33" width="3.7109375" style="24" customWidth="1"/>
    <col min="34" max="34" width="11.7109375" style="24" customWidth="1"/>
    <col min="35" max="35" width="8.5703125" style="24" hidden="1" customWidth="1"/>
    <col min="36" max="36" width="4.7109375" style="24" customWidth="1"/>
    <col min="37" max="37" width="115.7109375" style="24" customWidth="1"/>
    <col min="38" max="39" width="10.5703125" style="77"/>
    <col min="40" max="40" width="11.140625" style="77" customWidth="1"/>
    <col min="41" max="42" width="10.5703125" style="77"/>
  </cols>
  <sheetData>
    <row r="1" spans="1:42" ht="14.25" hidden="1" customHeight="1"/>
    <row r="2" spans="1:42" ht="23.25" hidden="1" customHeight="1">
      <c r="A2" s="822"/>
      <c r="B2" s="822"/>
      <c r="C2" s="822"/>
      <c r="D2" s="822"/>
      <c r="E2" s="1337">
        <v>1</v>
      </c>
      <c r="F2" s="822"/>
      <c r="G2" s="822"/>
      <c r="H2" s="822"/>
      <c r="I2" s="822"/>
      <c r="J2" s="822"/>
      <c r="K2" s="822"/>
      <c r="L2" s="823"/>
      <c r="M2" s="452"/>
      <c r="N2" s="452"/>
      <c r="O2" s="452"/>
      <c r="Q2" s="43"/>
      <c r="R2" s="220"/>
      <c r="S2" s="755" t="e">
        <f>INDEX(PT_DIFFERENTIATION_NUM_NTAR,MATCH(A2,PT_DIFFERENTIATION_NTAR_ID,0))</f>
        <v>#N/A</v>
      </c>
      <c r="T2" s="76" t="s">
        <v>124</v>
      </c>
      <c r="U2" s="179"/>
      <c r="V2" s="1331"/>
      <c r="W2" s="1332"/>
      <c r="X2" s="1332"/>
      <c r="Y2" s="1332"/>
      <c r="Z2" s="1332"/>
      <c r="AA2" s="1332"/>
      <c r="AB2" s="1333"/>
      <c r="AC2" s="1331" t="e">
        <f>INDEX(PT_DIFFERENTIATION_NTAR,MATCH(A2,PT_DIFFERENTIATION_NTAR_ID,0))</f>
        <v>#N/A</v>
      </c>
      <c r="AD2" s="1332"/>
      <c r="AE2" s="1332"/>
      <c r="AF2" s="1332"/>
      <c r="AG2" s="1332"/>
      <c r="AH2" s="1332"/>
      <c r="AI2" s="1332"/>
      <c r="AJ2" s="1333"/>
      <c r="AK2" s="7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9"/>
      <c r="AN2" s="79" t="str">
        <f t="shared" ref="AN2:AN13" si="0">IF(T2="","",T2)</f>
        <v>Наименование тарифа</v>
      </c>
      <c r="AO2" s="79"/>
      <c r="AP2" s="79"/>
    </row>
    <row r="3" spans="1:42" ht="23.25" hidden="1" customHeight="1">
      <c r="A3" s="822"/>
      <c r="B3" s="822"/>
      <c r="C3" s="822"/>
      <c r="D3" s="822"/>
      <c r="E3" s="1338"/>
      <c r="F3" s="1337">
        <v>1</v>
      </c>
      <c r="G3" s="822"/>
      <c r="H3" s="822"/>
      <c r="I3" s="822"/>
      <c r="J3" s="822"/>
      <c r="K3" s="822"/>
      <c r="L3" s="823"/>
      <c r="M3" s="452"/>
      <c r="N3" s="452"/>
      <c r="O3" s="452"/>
      <c r="P3" s="68"/>
      <c r="Q3" s="217"/>
      <c r="R3" s="218"/>
      <c r="S3" s="755" t="e">
        <f>INDEX(PT_DIFFERENTIATION_NUM_TER,MATCH(B3,PT_DIFFERENTIATION_TER_ID,0))</f>
        <v>#N/A</v>
      </c>
      <c r="T3" s="187" t="s">
        <v>1462</v>
      </c>
      <c r="U3" s="179"/>
      <c r="V3" s="1331"/>
      <c r="W3" s="1332"/>
      <c r="X3" s="1332"/>
      <c r="Y3" s="1332"/>
      <c r="Z3" s="1332"/>
      <c r="AA3" s="1332"/>
      <c r="AB3" s="1333"/>
      <c r="AC3" s="1331" t="e">
        <f>INDEX(PT_DIFFERENTIATION_TER,MATCH(B3,PT_DIFFERENTIATION_TER_ID,0))</f>
        <v>#N/A</v>
      </c>
      <c r="AD3" s="1332"/>
      <c r="AE3" s="1332"/>
      <c r="AF3" s="1332"/>
      <c r="AG3" s="1332"/>
      <c r="AH3" s="1332"/>
      <c r="AI3" s="1332"/>
      <c r="AJ3" s="1333"/>
      <c r="AK3" s="782" t="s">
        <v>1463</v>
      </c>
      <c r="AM3" s="79"/>
      <c r="AN3" s="79" t="str">
        <f t="shared" si="0"/>
        <v>Территория действия тарифа</v>
      </c>
      <c r="AO3" s="79"/>
      <c r="AP3" s="79"/>
    </row>
    <row r="4" spans="1:42" ht="23.25" hidden="1" customHeight="1">
      <c r="A4" s="822"/>
      <c r="B4" s="822"/>
      <c r="C4" s="822"/>
      <c r="D4" s="822"/>
      <c r="E4" s="1338"/>
      <c r="F4" s="1338"/>
      <c r="G4" s="1337">
        <v>1</v>
      </c>
      <c r="H4" s="822"/>
      <c r="I4" s="822"/>
      <c r="J4" s="822"/>
      <c r="K4" s="822"/>
      <c r="L4" s="823"/>
      <c r="M4" s="452"/>
      <c r="N4" s="452"/>
      <c r="O4" s="452"/>
      <c r="P4" s="219"/>
      <c r="Q4" s="217"/>
      <c r="R4" s="218"/>
      <c r="S4" s="755" t="e">
        <f>INDEX(PT_DIFFERENTIATION_NUM_CS,MATCH(C4,PT_DIFFERENTIATION_CS_ID,0))</f>
        <v>#N/A</v>
      </c>
      <c r="T4" s="188" t="s">
        <v>2101</v>
      </c>
      <c r="U4" s="179"/>
      <c r="V4" s="1331"/>
      <c r="W4" s="1332"/>
      <c r="X4" s="1332"/>
      <c r="Y4" s="1332"/>
      <c r="Z4" s="1332"/>
      <c r="AA4" s="1332"/>
      <c r="AB4" s="1333"/>
      <c r="AC4" s="1331" t="e">
        <f>INDEX(PT_DIFFERENTIATION_CS,MATCH(C4,PT_DIFFERENTIATION_CS_ID,0))</f>
        <v>#N/A</v>
      </c>
      <c r="AD4" s="1332"/>
      <c r="AE4" s="1332"/>
      <c r="AF4" s="1332"/>
      <c r="AG4" s="1332"/>
      <c r="AH4" s="1332"/>
      <c r="AI4" s="1332"/>
      <c r="AJ4" s="1333"/>
      <c r="AK4" s="782" t="s">
        <v>2102</v>
      </c>
      <c r="AM4" s="79"/>
      <c r="AN4" s="79" t="str">
        <f t="shared" si="0"/>
        <v>Наименование централизованной системы водоотведения</v>
      </c>
      <c r="AO4" s="79"/>
      <c r="AP4" s="79"/>
    </row>
    <row r="5" spans="1:42" ht="23.25" hidden="1" customHeight="1">
      <c r="A5" s="822"/>
      <c r="B5" s="822"/>
      <c r="C5" s="822"/>
      <c r="D5" s="822"/>
      <c r="E5" s="1338"/>
      <c r="F5" s="1338"/>
      <c r="G5" s="1338"/>
      <c r="H5" s="1338"/>
      <c r="I5" s="1339" t="e">
        <f>S4&amp;".1"</f>
        <v>#N/A</v>
      </c>
      <c r="J5" s="822"/>
      <c r="K5" s="822"/>
      <c r="L5" s="823"/>
      <c r="P5" s="1259">
        <v>1</v>
      </c>
      <c r="Q5" s="127"/>
      <c r="R5" s="221"/>
      <c r="S5" s="755" t="e">
        <f>$I5</f>
        <v>#N/A</v>
      </c>
      <c r="T5" s="172" t="s">
        <v>1683</v>
      </c>
      <c r="U5" s="179"/>
      <c r="V5" s="1429"/>
      <c r="W5" s="1430"/>
      <c r="X5" s="1430"/>
      <c r="Y5" s="1430"/>
      <c r="Z5" s="1430"/>
      <c r="AA5" s="1430"/>
      <c r="AB5" s="1431"/>
      <c r="AC5" s="1432"/>
      <c r="AD5" s="1433"/>
      <c r="AE5" s="1433"/>
      <c r="AF5" s="1433"/>
      <c r="AG5" s="1433"/>
      <c r="AH5" s="1433"/>
      <c r="AI5" s="1433"/>
      <c r="AJ5" s="1434"/>
      <c r="AK5" s="782" t="s">
        <v>1684</v>
      </c>
      <c r="AM5" s="79"/>
      <c r="AN5" s="79" t="str">
        <f t="shared" si="0"/>
        <v>Наименование признака дифференциации</v>
      </c>
      <c r="AO5" s="79"/>
      <c r="AP5" s="79"/>
    </row>
    <row r="6" spans="1:42" ht="23.25" hidden="1" customHeight="1">
      <c r="A6" s="822"/>
      <c r="B6" s="822"/>
      <c r="C6" s="822"/>
      <c r="D6" s="822"/>
      <c r="E6" s="1338"/>
      <c r="F6" s="1338"/>
      <c r="G6" s="1338"/>
      <c r="H6" s="1338"/>
      <c r="I6" s="1340"/>
      <c r="J6" s="1339" t="e">
        <f>I5&amp;".1"</f>
        <v>#N/A</v>
      </c>
      <c r="K6" s="822"/>
      <c r="L6" s="823" t="s">
        <v>1471</v>
      </c>
      <c r="P6" s="1259"/>
      <c r="Q6" s="1259">
        <v>1</v>
      </c>
      <c r="R6" s="222"/>
      <c r="S6" s="755" t="e">
        <f>$J6</f>
        <v>#N/A</v>
      </c>
      <c r="T6" s="173" t="s">
        <v>1472</v>
      </c>
      <c r="U6" s="179"/>
      <c r="V6" s="1326"/>
      <c r="W6" s="1327"/>
      <c r="X6" s="1327"/>
      <c r="Y6" s="1327"/>
      <c r="Z6" s="1327"/>
      <c r="AA6" s="1327"/>
      <c r="AB6" s="1328"/>
      <c r="AC6" s="1326"/>
      <c r="AD6" s="1327"/>
      <c r="AE6" s="1327"/>
      <c r="AF6" s="1327"/>
      <c r="AG6" s="1327"/>
      <c r="AH6" s="1327"/>
      <c r="AI6" s="1327"/>
      <c r="AJ6" s="1328"/>
      <c r="AK6" s="809" t="s">
        <v>1685</v>
      </c>
      <c r="AM6" s="79"/>
      <c r="AN6" s="79" t="str">
        <f t="shared" si="0"/>
        <v>Группа потребителей</v>
      </c>
      <c r="AO6" s="79"/>
      <c r="AP6" s="79"/>
    </row>
    <row r="7" spans="1:42" ht="23.25" hidden="1" customHeight="1">
      <c r="A7" s="822"/>
      <c r="B7" s="822"/>
      <c r="C7" s="822"/>
      <c r="D7" s="822"/>
      <c r="E7" s="1338"/>
      <c r="F7" s="1338"/>
      <c r="G7" s="1338"/>
      <c r="H7" s="1338"/>
      <c r="I7" s="1340"/>
      <c r="J7" s="1340"/>
      <c r="K7" s="1339" t="e">
        <f>J6&amp;".1"</f>
        <v>#N/A</v>
      </c>
      <c r="L7" s="823"/>
      <c r="P7" s="1259"/>
      <c r="Q7" s="1259"/>
      <c r="R7" s="222">
        <v>1</v>
      </c>
      <c r="S7" s="755" t="e">
        <f>$K7</f>
        <v>#N/A</v>
      </c>
      <c r="T7" s="853"/>
      <c r="U7" s="179"/>
      <c r="V7" s="1054"/>
      <c r="W7" s="1054"/>
      <c r="X7" s="1056"/>
      <c r="Y7" s="1341"/>
      <c r="Z7" s="1133" t="s">
        <v>67</v>
      </c>
      <c r="AA7" s="1341"/>
      <c r="AB7" s="1133" t="s">
        <v>67</v>
      </c>
      <c r="AC7" s="1054"/>
      <c r="AD7" s="1054"/>
      <c r="AE7" s="1056"/>
      <c r="AF7" s="1341"/>
      <c r="AG7" s="1133" t="s">
        <v>67</v>
      </c>
      <c r="AH7" s="1343"/>
      <c r="AI7" s="1133" t="s">
        <v>67</v>
      </c>
      <c r="AJ7" s="1082"/>
      <c r="AK7" s="143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7" t="e">
        <f ca="1">STRCHECKDATE(V8:AJ8)</f>
        <v>#NAME?</v>
      </c>
      <c r="AM7" s="79"/>
      <c r="AN7" s="79" t="str">
        <f t="shared" si="0"/>
        <v/>
      </c>
      <c r="AO7" s="79"/>
      <c r="AP7" s="79"/>
    </row>
    <row r="8" spans="1:42" ht="0.75" hidden="1" customHeight="1">
      <c r="A8" s="822"/>
      <c r="B8" s="822"/>
      <c r="C8" s="822"/>
      <c r="D8" s="822"/>
      <c r="E8" s="1338"/>
      <c r="F8" s="1338"/>
      <c r="G8" s="1338"/>
      <c r="H8" s="1338"/>
      <c r="I8" s="1340"/>
      <c r="J8" s="1340"/>
      <c r="K8" s="1339"/>
      <c r="L8" s="823"/>
      <c r="P8" s="1259"/>
      <c r="Q8" s="1259"/>
      <c r="R8" s="222"/>
      <c r="S8" s="74"/>
      <c r="T8" s="179"/>
      <c r="U8" s="179"/>
      <c r="V8" s="1055"/>
      <c r="W8" s="1055"/>
      <c r="X8" s="1057" t="str">
        <f>Y7&amp;"-"&amp;AA7</f>
        <v>-</v>
      </c>
      <c r="Y8" s="1342"/>
      <c r="Z8" s="1133"/>
      <c r="AA8" s="1342"/>
      <c r="AB8" s="1133"/>
      <c r="AC8" s="1055"/>
      <c r="AD8" s="1055"/>
      <c r="AE8" s="1057" t="str">
        <f>AF7&amp;"-"&amp;AH7</f>
        <v>-</v>
      </c>
      <c r="AF8" s="1342"/>
      <c r="AG8" s="1133"/>
      <c r="AH8" s="1344"/>
      <c r="AI8" s="1133"/>
      <c r="AJ8" s="1083"/>
      <c r="AK8" s="1435"/>
      <c r="AM8" s="79"/>
      <c r="AN8" s="79" t="str">
        <f t="shared" si="0"/>
        <v/>
      </c>
      <c r="AO8" s="79"/>
      <c r="AP8" s="79"/>
    </row>
    <row r="9" spans="1:42" ht="21" hidden="1" customHeight="1">
      <c r="A9" s="822"/>
      <c r="B9" s="822"/>
      <c r="C9" s="822"/>
      <c r="D9" s="822"/>
      <c r="E9" s="1338"/>
      <c r="F9" s="1338"/>
      <c r="G9" s="1338"/>
      <c r="H9" s="1338"/>
      <c r="I9" s="1340"/>
      <c r="J9" s="1339"/>
      <c r="K9" s="822"/>
      <c r="L9" s="823"/>
      <c r="P9" s="1259"/>
      <c r="Q9" s="1259"/>
      <c r="R9" s="221"/>
      <c r="S9" s="796"/>
      <c r="T9" s="174" t="s">
        <v>1686</v>
      </c>
      <c r="U9" s="228"/>
      <c r="V9" s="228"/>
      <c r="W9" s="228"/>
      <c r="X9" s="228"/>
      <c r="Y9" s="228"/>
      <c r="Z9" s="228"/>
      <c r="AA9" s="228"/>
      <c r="AB9" s="228"/>
      <c r="AC9" s="228"/>
      <c r="AD9" s="228"/>
      <c r="AE9" s="228"/>
      <c r="AF9" s="228"/>
      <c r="AG9" s="228"/>
      <c r="AH9" s="228"/>
      <c r="AI9" s="228"/>
      <c r="AJ9" s="228"/>
      <c r="AK9" s="782" t="s">
        <v>1687</v>
      </c>
      <c r="AM9" s="79"/>
      <c r="AN9" s="79" t="str">
        <f t="shared" si="0"/>
        <v>Добавить значение признака дифференциации</v>
      </c>
      <c r="AO9" s="79"/>
      <c r="AP9" s="79"/>
    </row>
    <row r="10" spans="1:42" ht="21" hidden="1" customHeight="1">
      <c r="A10" s="822"/>
      <c r="B10" s="822"/>
      <c r="C10" s="822"/>
      <c r="D10" s="822"/>
      <c r="E10" s="1338"/>
      <c r="F10" s="1338"/>
      <c r="G10" s="1338"/>
      <c r="H10" s="1338"/>
      <c r="I10" s="1339"/>
      <c r="J10" s="822"/>
      <c r="K10" s="822"/>
      <c r="L10" s="823"/>
      <c r="P10" s="1259"/>
      <c r="Q10" s="127"/>
      <c r="R10" s="221"/>
      <c r="S10" s="796"/>
      <c r="T10" s="226" t="s">
        <v>1477</v>
      </c>
      <c r="U10" s="228"/>
      <c r="V10" s="228"/>
      <c r="W10" s="228"/>
      <c r="X10" s="228"/>
      <c r="Y10" s="228"/>
      <c r="Z10" s="228"/>
      <c r="AA10" s="228"/>
      <c r="AB10" s="205"/>
      <c r="AC10" s="228"/>
      <c r="AD10" s="228"/>
      <c r="AE10" s="228"/>
      <c r="AF10" s="228"/>
      <c r="AG10" s="228"/>
      <c r="AH10" s="228"/>
      <c r="AI10" s="205"/>
      <c r="AJ10" s="228"/>
      <c r="AK10" s="854"/>
      <c r="AM10" s="79"/>
      <c r="AN10" s="79" t="str">
        <f t="shared" si="0"/>
        <v>Добавить группу потребителей</v>
      </c>
      <c r="AO10" s="79"/>
      <c r="AP10" s="79"/>
    </row>
    <row r="11" spans="1:42" ht="21" hidden="1" customHeight="1">
      <c r="A11" s="822"/>
      <c r="B11" s="822"/>
      <c r="C11" s="822"/>
      <c r="D11" s="822"/>
      <c r="E11" s="1338"/>
      <c r="F11" s="1338"/>
      <c r="G11" s="1338"/>
      <c r="H11" s="1337"/>
      <c r="I11" s="822"/>
      <c r="J11" s="822"/>
      <c r="K11" s="822"/>
      <c r="L11" s="823"/>
      <c r="M11" s="452"/>
      <c r="N11" s="452"/>
      <c r="O11" s="72"/>
      <c r="P11" s="43"/>
      <c r="Q11" s="231"/>
      <c r="R11" s="220"/>
      <c r="S11" s="796"/>
      <c r="T11" s="113" t="s">
        <v>1688</v>
      </c>
      <c r="U11" s="228"/>
      <c r="V11" s="228"/>
      <c r="W11" s="228"/>
      <c r="X11" s="228"/>
      <c r="Y11" s="228"/>
      <c r="Z11" s="228"/>
      <c r="AA11" s="228"/>
      <c r="AB11" s="205"/>
      <c r="AC11" s="228"/>
      <c r="AD11" s="228"/>
      <c r="AE11" s="228"/>
      <c r="AF11" s="228"/>
      <c r="AG11" s="228"/>
      <c r="AH11" s="228"/>
      <c r="AI11" s="205"/>
      <c r="AJ11" s="228"/>
      <c r="AK11" s="182"/>
      <c r="AM11" s="79"/>
      <c r="AN11" s="79" t="str">
        <f t="shared" si="0"/>
        <v>Добавить наименование признака дифференциации</v>
      </c>
      <c r="AO11" s="79"/>
      <c r="AP11" s="79"/>
    </row>
    <row r="12" spans="1:42" s="77" customFormat="1" ht="0.75" hidden="1" customHeight="1">
      <c r="A12" s="150"/>
      <c r="B12" s="150"/>
      <c r="C12" s="150"/>
      <c r="D12" s="150"/>
      <c r="E12" s="1338"/>
      <c r="F12" s="1337"/>
      <c r="G12" s="150"/>
      <c r="H12" s="150"/>
      <c r="I12" s="150"/>
      <c r="J12" s="150"/>
      <c r="K12" s="150"/>
      <c r="L12" s="373"/>
      <c r="M12" s="815"/>
      <c r="N12" s="815"/>
      <c r="P12" s="111"/>
      <c r="Q12" s="811"/>
      <c r="R12" s="111"/>
      <c r="S12" s="816"/>
      <c r="T12" s="818" t="s">
        <v>1438</v>
      </c>
      <c r="U12" s="338"/>
      <c r="V12" s="338"/>
      <c r="W12" s="338"/>
      <c r="X12" s="338"/>
      <c r="Y12" s="338"/>
      <c r="Z12" s="338"/>
      <c r="AA12" s="338"/>
      <c r="AB12" s="338"/>
      <c r="AC12" s="338"/>
      <c r="AD12" s="338"/>
      <c r="AE12" s="338"/>
      <c r="AF12" s="338"/>
      <c r="AG12" s="338"/>
      <c r="AH12" s="338"/>
      <c r="AI12" s="338"/>
      <c r="AJ12" s="338"/>
      <c r="AK12" s="338"/>
      <c r="AM12" s="79"/>
      <c r="AN12" s="79" t="str">
        <f t="shared" si="0"/>
        <v>Добавить централизованную систему для дифференциации</v>
      </c>
      <c r="AO12" s="79"/>
      <c r="AP12" s="79"/>
    </row>
    <row r="13" spans="1:42" s="77" customFormat="1" ht="0.75" hidden="1" customHeight="1">
      <c r="A13" s="150"/>
      <c r="B13" s="150"/>
      <c r="C13" s="150"/>
      <c r="D13" s="150"/>
      <c r="E13" s="1337"/>
      <c r="F13" s="150"/>
      <c r="G13" s="150"/>
      <c r="H13" s="150"/>
      <c r="I13" s="150"/>
      <c r="J13" s="150"/>
      <c r="K13" s="150"/>
      <c r="L13" s="373"/>
      <c r="M13" s="815"/>
      <c r="N13" s="815"/>
      <c r="P13" s="111"/>
      <c r="Q13" s="811"/>
      <c r="R13" s="111"/>
      <c r="S13" s="816"/>
      <c r="T13" s="818" t="s">
        <v>1439</v>
      </c>
      <c r="U13" s="338"/>
      <c r="V13" s="338"/>
      <c r="W13" s="338"/>
      <c r="X13" s="338"/>
      <c r="Y13" s="338"/>
      <c r="Z13" s="338"/>
      <c r="AA13" s="338"/>
      <c r="AB13" s="338"/>
      <c r="AC13" s="338"/>
      <c r="AD13" s="338"/>
      <c r="AE13" s="338"/>
      <c r="AF13" s="338"/>
      <c r="AG13" s="338"/>
      <c r="AH13" s="338"/>
      <c r="AI13" s="338"/>
      <c r="AJ13" s="338"/>
      <c r="AK13" s="338"/>
      <c r="AM13" s="79"/>
      <c r="AN13" s="79" t="str">
        <f t="shared" si="0"/>
        <v>Добавить территорию для дифференциации</v>
      </c>
      <c r="AO13" s="79"/>
      <c r="AP13" s="79"/>
    </row>
    <row r="14" spans="1:42" ht="14.25" hidden="1" customHeight="1"/>
    <row r="15" spans="1:42" ht="14.25" hidden="1" customHeight="1">
      <c r="AC15" s="1058"/>
      <c r="AD15" s="1058"/>
      <c r="AE15" s="1059"/>
      <c r="AF15" s="1335"/>
      <c r="AG15" s="1334" t="s">
        <v>67</v>
      </c>
      <c r="AH15" s="1335"/>
      <c r="AI15" s="1334" t="s">
        <v>67</v>
      </c>
    </row>
    <row r="16" spans="1:42" ht="14.25" hidden="1" customHeight="1">
      <c r="AC16" s="1058"/>
      <c r="AD16" s="1058"/>
      <c r="AE16" s="1057" t="str">
        <f>AF15&amp;"-"&amp;AH15</f>
        <v>-</v>
      </c>
      <c r="AF16" s="1334"/>
      <c r="AG16" s="1334"/>
      <c r="AH16" s="1334"/>
      <c r="AI16" s="1334"/>
    </row>
    <row r="17" spans="1:42" ht="14.25" hidden="1" customHeight="1"/>
    <row r="18" spans="1:42" s="72" customFormat="1" ht="14.25" hidden="1" customHeight="1">
      <c r="L18" s="388"/>
      <c r="M18" s="541"/>
      <c r="N18" s="541"/>
      <c r="O18" s="824" t="s">
        <v>1479</v>
      </c>
      <c r="P18" s="541"/>
      <c r="Q18" s="825"/>
      <c r="R18" s="825"/>
      <c r="S18" s="452"/>
      <c r="Y18" s="824"/>
      <c r="AA18" s="824"/>
      <c r="AF18" s="824"/>
      <c r="AH18" s="824"/>
      <c r="AL18" s="77"/>
      <c r="AM18" s="77"/>
      <c r="AN18" s="77"/>
      <c r="AO18" s="77"/>
      <c r="AP18" s="77"/>
    </row>
    <row r="19" spans="1:42" s="72" customFormat="1" ht="14.25" hidden="1" customHeight="1">
      <c r="L19" s="388"/>
      <c r="M19" s="541"/>
      <c r="N19" s="541"/>
      <c r="O19" s="541"/>
      <c r="P19" s="541"/>
      <c r="Q19" s="825"/>
      <c r="R19" s="825"/>
      <c r="S19" s="452"/>
      <c r="AL19" s="77"/>
      <c r="AM19" s="77"/>
      <c r="AN19" s="77"/>
      <c r="AO19" s="77"/>
      <c r="AP19" s="77"/>
    </row>
    <row r="20" spans="1:42" s="72" customFormat="1" ht="12" hidden="1" customHeight="1">
      <c r="L20" s="388"/>
      <c r="M20" s="541"/>
      <c r="N20" s="541"/>
      <c r="O20" s="823" t="s">
        <v>1480</v>
      </c>
      <c r="P20" s="541"/>
      <c r="Q20" s="855"/>
      <c r="R20" s="855"/>
      <c r="S20" s="452"/>
      <c r="T20" s="72" t="s">
        <v>1481</v>
      </c>
      <c r="Z20" s="91" t="s">
        <v>1482</v>
      </c>
      <c r="AB20" s="91" t="s">
        <v>1483</v>
      </c>
      <c r="AC20" s="72" t="s">
        <v>1481</v>
      </c>
      <c r="AG20" s="91" t="s">
        <v>1484</v>
      </c>
      <c r="AI20" s="91" t="s">
        <v>1483</v>
      </c>
    </row>
    <row r="21" spans="1:42" ht="14.25" hidden="1" customHeight="1">
      <c r="O21" s="823"/>
    </row>
    <row r="22" spans="1:42" ht="14.25" hidden="1" customHeight="1">
      <c r="O22" s="823"/>
    </row>
    <row r="23" spans="1:42" ht="14.25" customHeight="1">
      <c r="Q23" s="36"/>
      <c r="R23" s="36"/>
      <c r="S23" s="793"/>
      <c r="T23" s="25"/>
      <c r="U23" s="25"/>
    </row>
    <row r="24" spans="1:42" ht="32.25" customHeight="1">
      <c r="Q24" s="36"/>
      <c r="R24" s="36"/>
      <c r="S24" s="1181" t="str">
        <f>IF(TEMPLATE_GROUP="P",PT_P_FORM_VOTV_4_NAME_FORM,PT_R_FORM_VOTV_16_NAME_FORM)</f>
        <v>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v>
      </c>
      <c r="T24" s="1181"/>
      <c r="U24" s="1181"/>
      <c r="V24" s="1181"/>
      <c r="W24" s="1181"/>
      <c r="X24" s="1181"/>
      <c r="Y24" s="1181"/>
      <c r="Z24" s="1181"/>
      <c r="AA24" s="1181"/>
      <c r="AB24" s="1181"/>
      <c r="AC24" s="1181"/>
      <c r="AD24" s="1181"/>
      <c r="AE24" s="1181"/>
      <c r="AF24" s="1181"/>
      <c r="AG24" s="1181"/>
      <c r="AH24" s="1181"/>
      <c r="AI24" s="69"/>
    </row>
    <row r="25" spans="1:42" ht="14.25" customHeight="1">
      <c r="Q25" s="36"/>
      <c r="R25" s="36"/>
      <c r="S25" s="1204" t="str">
        <f>IF(org=0,"Не определено",org)</f>
        <v>ООО "ТЕПЛО ПЛЮС"</v>
      </c>
      <c r="T25" s="1204"/>
      <c r="U25" s="1204"/>
      <c r="V25" s="1204"/>
      <c r="W25" s="1204"/>
      <c r="X25" s="1204"/>
      <c r="Y25" s="1204"/>
      <c r="Z25" s="1204"/>
      <c r="AA25" s="1204"/>
      <c r="AB25" s="1204"/>
      <c r="AC25" s="1204"/>
      <c r="AD25" s="1204"/>
      <c r="AE25" s="1204"/>
      <c r="AF25" s="1204"/>
      <c r="AG25" s="1204"/>
      <c r="AH25" s="1204"/>
      <c r="AI25" s="69"/>
    </row>
    <row r="26" spans="1:42" ht="14.25" hidden="1" customHeight="1">
      <c r="Q26" s="36"/>
      <c r="R26" s="36"/>
      <c r="S26" s="793"/>
      <c r="T26" s="25"/>
      <c r="U26" s="25"/>
      <c r="V26" s="202"/>
      <c r="W26" s="202"/>
      <c r="X26" s="202"/>
      <c r="Y26" s="202"/>
      <c r="Z26" s="202"/>
      <c r="AA26" s="202"/>
      <c r="AB26" s="202"/>
      <c r="AC26" s="202"/>
      <c r="AD26" s="202"/>
      <c r="AE26" s="202"/>
      <c r="AF26" s="202"/>
      <c r="AG26" s="202"/>
      <c r="AH26" s="202"/>
      <c r="AI26" s="202"/>
    </row>
    <row r="27" spans="1:42" s="44" customFormat="1" ht="25.5" hidden="1" customHeight="1">
      <c r="A27" s="91"/>
      <c r="B27" s="91"/>
      <c r="C27" s="91"/>
      <c r="D27" s="91"/>
      <c r="E27" s="91"/>
      <c r="F27" s="91"/>
      <c r="G27" s="91"/>
      <c r="H27" s="91"/>
      <c r="I27" s="91"/>
      <c r="J27" s="91"/>
      <c r="K27" s="91"/>
      <c r="L27" s="823"/>
      <c r="M27" s="91"/>
      <c r="N27" s="91"/>
      <c r="O27" s="91"/>
      <c r="S27" s="1329" t="s">
        <v>39</v>
      </c>
      <c r="T27" s="1329"/>
      <c r="U27" s="826"/>
      <c r="V27" s="1330" t="str">
        <f>IF(TITLE_NAME_OR_PR_CHANGE="",IF(TITLE_NAME_OR_PR="","",TITLE_NAME_OR_PR),TITLE_NAME_OR_PR_CHANGE)</f>
        <v/>
      </c>
      <c r="W27" s="1330"/>
      <c r="X27" s="1330"/>
      <c r="Y27" s="1330"/>
      <c r="Z27" s="1330"/>
      <c r="AA27" s="1330"/>
      <c r="AB27" s="24"/>
      <c r="AC27" s="1330" t="str">
        <f>IF(TITLE_NAME_OR_PR_CHANGE="",IF(TITLE_NAME_OR_PR="","",TITLE_NAME_OR_PR),TITLE_NAME_OR_PR_CHANGE)</f>
        <v/>
      </c>
      <c r="AD27" s="1330"/>
      <c r="AE27" s="1330"/>
      <c r="AF27" s="1330"/>
      <c r="AG27" s="1330"/>
      <c r="AH27" s="1330"/>
      <c r="AI27" s="24"/>
      <c r="AJ27" s="24"/>
      <c r="AK27" s="171"/>
      <c r="AL27" s="79"/>
      <c r="AM27" s="79"/>
      <c r="AN27" s="79"/>
      <c r="AO27" s="79"/>
      <c r="AP27" s="79"/>
    </row>
    <row r="28" spans="1:42" s="44" customFormat="1" ht="18.75" hidden="1" customHeight="1">
      <c r="A28" s="91"/>
      <c r="B28" s="91"/>
      <c r="C28" s="91"/>
      <c r="D28" s="91"/>
      <c r="E28" s="91"/>
      <c r="F28" s="91"/>
      <c r="G28" s="91"/>
      <c r="H28" s="91"/>
      <c r="I28" s="91"/>
      <c r="J28" s="91"/>
      <c r="K28" s="91"/>
      <c r="L28" s="823"/>
      <c r="M28" s="91"/>
      <c r="N28" s="91"/>
      <c r="O28" s="91"/>
      <c r="S28" s="1329" t="s">
        <v>1485</v>
      </c>
      <c r="T28" s="1329"/>
      <c r="U28" s="826"/>
      <c r="V28" s="1330" t="str">
        <f>IF(TITLE_DATE_CHANGE_PERIOD="",IF(TITLE_DATE_PR="","",TITLE_DATE_PR),TITLE_DATE_CHANGE_PERIOD)</f>
        <v/>
      </c>
      <c r="W28" s="1330"/>
      <c r="X28" s="1330"/>
      <c r="Y28" s="1330"/>
      <c r="Z28" s="1330"/>
      <c r="AA28" s="1330"/>
      <c r="AB28" s="24"/>
      <c r="AC28" s="1330" t="str">
        <f>IF(TITLE_DATE_CHANGE_PERIOD="",IF(TITLE_DATE_PR="","",TITLE_DATE_PR),TITLE_DATE_CHANGE_PERIOD)</f>
        <v/>
      </c>
      <c r="AD28" s="1330"/>
      <c r="AE28" s="1330"/>
      <c r="AF28" s="1330"/>
      <c r="AG28" s="1330"/>
      <c r="AH28" s="1330"/>
      <c r="AI28" s="24"/>
      <c r="AJ28" s="24"/>
      <c r="AK28" s="171"/>
      <c r="AL28" s="79"/>
      <c r="AM28" s="79"/>
      <c r="AN28" s="79"/>
      <c r="AO28" s="79"/>
      <c r="AP28" s="79"/>
    </row>
    <row r="29" spans="1:42" s="44" customFormat="1" ht="18.75" hidden="1" customHeight="1">
      <c r="A29" s="91"/>
      <c r="B29" s="91"/>
      <c r="C29" s="91"/>
      <c r="D29" s="91"/>
      <c r="E29" s="91"/>
      <c r="F29" s="91"/>
      <c r="G29" s="91"/>
      <c r="H29" s="91"/>
      <c r="I29" s="91"/>
      <c r="J29" s="91"/>
      <c r="K29" s="91"/>
      <c r="L29" s="823"/>
      <c r="M29" s="91"/>
      <c r="N29" s="91"/>
      <c r="O29" s="91"/>
      <c r="S29" s="1329" t="s">
        <v>1486</v>
      </c>
      <c r="T29" s="1329"/>
      <c r="U29" s="826"/>
      <c r="V29" s="1330" t="str">
        <f>IF(TITLE_NUMBER_PR_CHANGE="",IF(TITLE_NUMBER_PR="","",TITLE_NUMBER_PR),TITLE_NUMBER_PR_CHANGE)</f>
        <v/>
      </c>
      <c r="W29" s="1330"/>
      <c r="X29" s="1330"/>
      <c r="Y29" s="1330"/>
      <c r="Z29" s="1330"/>
      <c r="AA29" s="1330"/>
      <c r="AB29" s="24"/>
      <c r="AC29" s="1330" t="str">
        <f>IF(TITLE_NUMBER_PR_CHANGE="",IF(TITLE_NUMBER_PR="","",TITLE_NUMBER_PR),TITLE_NUMBER_PR_CHANGE)</f>
        <v/>
      </c>
      <c r="AD29" s="1330"/>
      <c r="AE29" s="1330"/>
      <c r="AF29" s="1330"/>
      <c r="AG29" s="1330"/>
      <c r="AH29" s="1330"/>
      <c r="AI29" s="24"/>
      <c r="AJ29" s="24"/>
      <c r="AK29" s="171"/>
      <c r="AL29" s="79"/>
      <c r="AM29" s="79"/>
      <c r="AN29" s="79"/>
      <c r="AO29" s="79"/>
      <c r="AP29" s="79"/>
    </row>
    <row r="30" spans="1:42" s="44" customFormat="1" ht="18.75" hidden="1" customHeight="1">
      <c r="A30" s="91"/>
      <c r="B30" s="91"/>
      <c r="C30" s="91"/>
      <c r="D30" s="91"/>
      <c r="E30" s="91"/>
      <c r="F30" s="91"/>
      <c r="G30" s="91"/>
      <c r="H30" s="91"/>
      <c r="I30" s="91"/>
      <c r="J30" s="91"/>
      <c r="K30" s="91"/>
      <c r="L30" s="823"/>
      <c r="M30" s="91"/>
      <c r="N30" s="91"/>
      <c r="O30" s="91"/>
      <c r="S30" s="1329" t="s">
        <v>40</v>
      </c>
      <c r="T30" s="1329"/>
      <c r="U30" s="826"/>
      <c r="V30" s="1330" t="str">
        <f>IF(TITLE_IST_PUB_CHANGE="",IF(TITLE_IST_PUB="","",TITLE_IST_PUB),TITLE_IST_PUB_CHANGE)</f>
        <v/>
      </c>
      <c r="W30" s="1330"/>
      <c r="X30" s="1330"/>
      <c r="Y30" s="1330"/>
      <c r="Z30" s="1330"/>
      <c r="AA30" s="1330"/>
      <c r="AB30" s="24"/>
      <c r="AC30" s="1330" t="str">
        <f>IF(TITLE_IST_PUB_CHANGE="",IF(TITLE_IST_PUB="","",TITLE_IST_PUB),TITLE_IST_PUB_CHANGE)</f>
        <v/>
      </c>
      <c r="AD30" s="1330"/>
      <c r="AE30" s="1330"/>
      <c r="AF30" s="1330"/>
      <c r="AG30" s="1330"/>
      <c r="AH30" s="1330"/>
      <c r="AI30" s="24"/>
      <c r="AJ30" s="24"/>
      <c r="AK30" s="171"/>
      <c r="AL30" s="79"/>
      <c r="AM30" s="79"/>
      <c r="AN30" s="79"/>
      <c r="AO30" s="79"/>
      <c r="AP30" s="79"/>
    </row>
    <row r="31" spans="1:42" ht="14.25" hidden="1" customHeight="1">
      <c r="Q31" s="36"/>
      <c r="R31" s="36"/>
      <c r="S31" s="793"/>
      <c r="T31" s="25"/>
      <c r="U31" s="25"/>
      <c r="V31" s="202"/>
      <c r="W31" s="202"/>
      <c r="X31" s="202"/>
      <c r="Y31" s="202"/>
      <c r="Z31" s="202"/>
      <c r="AA31" s="202"/>
      <c r="AB31" s="202"/>
      <c r="AC31" s="202"/>
      <c r="AD31" s="202"/>
      <c r="AE31" s="202"/>
      <c r="AF31" s="202"/>
      <c r="AG31" s="202"/>
      <c r="AH31" s="202"/>
      <c r="AI31" s="202"/>
    </row>
    <row r="32" spans="1:42" s="44" customFormat="1" ht="18.75" hidden="1" customHeight="1">
      <c r="A32" s="91"/>
      <c r="B32" s="91"/>
      <c r="C32" s="91"/>
      <c r="D32" s="91"/>
      <c r="E32" s="91"/>
      <c r="F32" s="91"/>
      <c r="G32" s="91"/>
      <c r="H32" s="91"/>
      <c r="I32" s="91"/>
      <c r="J32" s="91"/>
      <c r="K32" s="91"/>
      <c r="L32" s="823"/>
      <c r="M32" s="91"/>
      <c r="N32" s="91"/>
      <c r="O32" s="91"/>
      <c r="S32" s="1329" t="s">
        <v>1487</v>
      </c>
      <c r="T32" s="1329"/>
      <c r="U32" s="826"/>
      <c r="V32" s="1330" t="str">
        <f>IF(TITLE_DATE_CHANGE_PERIOD="",IF(TITLE_DATE_PR="","",TITLE_DATE_PR),TITLE_DATE_CHANGE_PERIOD)</f>
        <v/>
      </c>
      <c r="W32" s="1330"/>
      <c r="X32" s="1330"/>
      <c r="Y32" s="1330"/>
      <c r="Z32" s="1330"/>
      <c r="AA32" s="1330"/>
      <c r="AB32" s="24"/>
      <c r="AC32" s="1330" t="str">
        <f>IF(TITLE_DATE_CHANGE_PERIOD="",IF(TITLE_DATE_PR="","",TITLE_DATE_PR),TITLE_DATE_CHANGE_PERIOD)</f>
        <v/>
      </c>
      <c r="AD32" s="1330"/>
      <c r="AE32" s="1330"/>
      <c r="AF32" s="1330"/>
      <c r="AG32" s="1330"/>
      <c r="AH32" s="1330"/>
      <c r="AI32" s="24"/>
      <c r="AJ32" s="24"/>
      <c r="AK32" s="171"/>
      <c r="AL32" s="79"/>
      <c r="AM32" s="79"/>
      <c r="AN32" s="79"/>
      <c r="AO32" s="79"/>
      <c r="AP32" s="79"/>
    </row>
    <row r="33" spans="1:42" s="44" customFormat="1" ht="18.75" hidden="1" customHeight="1">
      <c r="A33" s="91"/>
      <c r="B33" s="91"/>
      <c r="C33" s="91"/>
      <c r="D33" s="91"/>
      <c r="E33" s="91"/>
      <c r="F33" s="91"/>
      <c r="G33" s="91"/>
      <c r="H33" s="91"/>
      <c r="I33" s="91"/>
      <c r="J33" s="91"/>
      <c r="K33" s="91"/>
      <c r="L33" s="823"/>
      <c r="M33" s="91"/>
      <c r="N33" s="91"/>
      <c r="O33" s="91"/>
      <c r="S33" s="1329" t="s">
        <v>1488</v>
      </c>
      <c r="T33" s="1329"/>
      <c r="U33" s="826"/>
      <c r="V33" s="1330" t="str">
        <f>IF(TITLE_NUMBER_PR_CHANGE="",IF(TITLE_NUMBER_PR="","",TITLE_NUMBER_PR),TITLE_NUMBER_PR_CHANGE)</f>
        <v/>
      </c>
      <c r="W33" s="1330"/>
      <c r="X33" s="1330"/>
      <c r="Y33" s="1330"/>
      <c r="Z33" s="1330"/>
      <c r="AA33" s="1330"/>
      <c r="AB33" s="24"/>
      <c r="AC33" s="1330" t="str">
        <f>IF(TITLE_NUMBER_PR_CHANGE="",IF(TITLE_NUMBER_PR="","",TITLE_NUMBER_PR),TITLE_NUMBER_PR_CHANGE)</f>
        <v/>
      </c>
      <c r="AD33" s="1330"/>
      <c r="AE33" s="1330"/>
      <c r="AF33" s="1330"/>
      <c r="AG33" s="1330"/>
      <c r="AH33" s="1330"/>
      <c r="AI33" s="24"/>
      <c r="AJ33" s="24"/>
      <c r="AK33" s="171"/>
      <c r="AL33" s="79"/>
      <c r="AM33" s="79"/>
      <c r="AN33" s="79"/>
      <c r="AO33" s="79"/>
      <c r="AP33" s="79"/>
    </row>
    <row r="34" spans="1:42" s="44" customFormat="1" ht="0.75" customHeight="1">
      <c r="A34" s="91"/>
      <c r="B34" s="91"/>
      <c r="C34" s="91"/>
      <c r="D34" s="91"/>
      <c r="E34" s="91"/>
      <c r="F34" s="91"/>
      <c r="G34" s="91"/>
      <c r="H34" s="91"/>
      <c r="I34" s="91"/>
      <c r="J34" s="91"/>
      <c r="K34" s="91"/>
      <c r="L34" s="823"/>
      <c r="M34" s="91"/>
      <c r="N34" s="91"/>
      <c r="O34" s="91"/>
      <c r="S34" s="24"/>
      <c r="T34" s="24"/>
      <c r="U34" s="87"/>
      <c r="V34" s="24"/>
      <c r="W34" s="24"/>
      <c r="X34" s="24"/>
      <c r="Y34" s="24"/>
      <c r="Z34" s="24"/>
      <c r="AA34" s="24"/>
      <c r="AB34" s="77" t="s">
        <v>1489</v>
      </c>
      <c r="AC34" s="24"/>
      <c r="AD34" s="24"/>
      <c r="AE34" s="24"/>
      <c r="AF34" s="24"/>
      <c r="AG34" s="24"/>
      <c r="AH34" s="24"/>
      <c r="AI34" s="77" t="s">
        <v>1489</v>
      </c>
      <c r="AL34" s="79"/>
      <c r="AM34" s="79"/>
      <c r="AN34" s="79"/>
      <c r="AO34" s="79"/>
      <c r="AP34" s="79"/>
    </row>
    <row r="35" spans="1:42" ht="14.25" customHeight="1">
      <c r="Q35" s="36"/>
      <c r="R35" s="36"/>
      <c r="S35" s="793"/>
      <c r="T35" s="25"/>
      <c r="U35" s="766"/>
      <c r="V35" s="1348"/>
      <c r="W35" s="1348"/>
      <c r="X35" s="1348"/>
      <c r="Y35" s="1348"/>
      <c r="Z35" s="1348"/>
      <c r="AA35" s="1348"/>
      <c r="AB35" s="1348"/>
      <c r="AC35" s="1348"/>
      <c r="AD35" s="1348"/>
      <c r="AE35" s="1348"/>
      <c r="AF35" s="1348"/>
      <c r="AG35" s="1348"/>
      <c r="AH35" s="1348"/>
      <c r="AI35" s="1348"/>
    </row>
    <row r="36" spans="1:42" ht="14.25" customHeight="1">
      <c r="Q36" s="36"/>
      <c r="R36" s="36"/>
      <c r="S36" s="1123" t="s">
        <v>292</v>
      </c>
      <c r="T36" s="1123"/>
      <c r="U36" s="1123"/>
      <c r="V36" s="1123"/>
      <c r="W36" s="1123"/>
      <c r="X36" s="1123"/>
      <c r="Y36" s="1123"/>
      <c r="Z36" s="1123"/>
      <c r="AA36" s="1123"/>
      <c r="AB36" s="1123"/>
      <c r="AC36" s="1123"/>
      <c r="AD36" s="1123"/>
      <c r="AE36" s="1123"/>
      <c r="AF36" s="1123"/>
      <c r="AG36" s="1123"/>
      <c r="AH36" s="1123"/>
      <c r="AI36" s="1123"/>
      <c r="AJ36" s="1123"/>
      <c r="AK36" s="1123" t="s">
        <v>293</v>
      </c>
    </row>
    <row r="37" spans="1:42" ht="14.25" customHeight="1">
      <c r="Q37" s="36"/>
      <c r="R37" s="36"/>
      <c r="S37" s="1349" t="s">
        <v>88</v>
      </c>
      <c r="T37" s="1213" t="s">
        <v>1490</v>
      </c>
      <c r="U37" s="180"/>
      <c r="V37" s="1350" t="s">
        <v>1491</v>
      </c>
      <c r="W37" s="1351"/>
      <c r="X37" s="1351"/>
      <c r="Y37" s="1351"/>
      <c r="Z37" s="1351"/>
      <c r="AA37" s="1352"/>
      <c r="AB37" s="1353" t="s">
        <v>1492</v>
      </c>
      <c r="AC37" s="1350" t="s">
        <v>1491</v>
      </c>
      <c r="AD37" s="1351"/>
      <c r="AE37" s="1351"/>
      <c r="AF37" s="1351"/>
      <c r="AG37" s="1351"/>
      <c r="AH37" s="1352"/>
      <c r="AI37" s="1353" t="s">
        <v>1493</v>
      </c>
      <c r="AJ37" s="1356" t="s">
        <v>1494</v>
      </c>
      <c r="AK37" s="1123"/>
    </row>
    <row r="38" spans="1:42" ht="33.75" customHeight="1">
      <c r="Q38" s="36"/>
      <c r="R38" s="36"/>
      <c r="S38" s="1349"/>
      <c r="T38" s="1213"/>
      <c r="U38" s="647"/>
      <c r="V38" s="366" t="s">
        <v>1689</v>
      </c>
      <c r="W38" s="1105" t="s">
        <v>1497</v>
      </c>
      <c r="X38" s="1104"/>
      <c r="Y38" s="1105" t="s">
        <v>1498</v>
      </c>
      <c r="Z38" s="1110"/>
      <c r="AA38" s="1104"/>
      <c r="AB38" s="1354"/>
      <c r="AC38" s="366" t="s">
        <v>1689</v>
      </c>
      <c r="AD38" s="1105" t="s">
        <v>1497</v>
      </c>
      <c r="AE38" s="1104"/>
      <c r="AF38" s="1105" t="s">
        <v>1498</v>
      </c>
      <c r="AG38" s="1110"/>
      <c r="AH38" s="1104"/>
      <c r="AI38" s="1354"/>
      <c r="AJ38" s="1357"/>
      <c r="AK38" s="1123"/>
    </row>
    <row r="39" spans="1:42" ht="86.25" customHeight="1">
      <c r="A39" s="91"/>
      <c r="B39" s="91" t="s">
        <v>136</v>
      </c>
      <c r="C39" s="91" t="s">
        <v>137</v>
      </c>
      <c r="D39" s="91" t="s">
        <v>138</v>
      </c>
      <c r="E39" s="823" t="s">
        <v>1499</v>
      </c>
      <c r="F39" s="823" t="s">
        <v>1500</v>
      </c>
      <c r="G39" s="823" t="s">
        <v>1501</v>
      </c>
      <c r="H39" s="823"/>
      <c r="I39" s="823" t="s">
        <v>1690</v>
      </c>
      <c r="J39" s="823" t="s">
        <v>1504</v>
      </c>
      <c r="K39" s="823" t="s">
        <v>1691</v>
      </c>
      <c r="L39" s="823" t="s">
        <v>1480</v>
      </c>
      <c r="Q39" s="36"/>
      <c r="R39" s="36"/>
      <c r="S39" s="1349"/>
      <c r="T39" s="1213"/>
      <c r="U39" s="181"/>
      <c r="V39" s="366" t="s">
        <v>2103</v>
      </c>
      <c r="W39" s="48" t="s">
        <v>2104</v>
      </c>
      <c r="X39" s="48" t="s">
        <v>1694</v>
      </c>
      <c r="Y39" s="48" t="s">
        <v>1508</v>
      </c>
      <c r="Z39" s="1219" t="s">
        <v>1509</v>
      </c>
      <c r="AA39" s="1233"/>
      <c r="AB39" s="1355"/>
      <c r="AC39" s="366" t="s">
        <v>2103</v>
      </c>
      <c r="AD39" s="48" t="s">
        <v>2104</v>
      </c>
      <c r="AE39" s="48" t="s">
        <v>1694</v>
      </c>
      <c r="AF39" s="48" t="s">
        <v>1508</v>
      </c>
      <c r="AG39" s="1219" t="s">
        <v>1509</v>
      </c>
      <c r="AH39" s="1233"/>
      <c r="AI39" s="1355"/>
      <c r="AJ39" s="1358"/>
      <c r="AK39" s="1123"/>
    </row>
    <row r="40" spans="1:42" s="216" customFormat="1" ht="11.25" hidden="1" customHeight="1">
      <c r="A40" s="91"/>
      <c r="B40" s="91"/>
      <c r="C40" s="91"/>
      <c r="D40" s="91"/>
      <c r="E40" s="91"/>
      <c r="F40" s="91"/>
      <c r="G40" s="91"/>
      <c r="H40" s="91"/>
      <c r="I40" s="91"/>
      <c r="J40" s="91"/>
      <c r="K40" s="91"/>
      <c r="L40" s="823"/>
      <c r="M40" s="541"/>
      <c r="N40" s="541"/>
      <c r="O40" s="541"/>
      <c r="P40" s="768"/>
      <c r="Q40" s="769"/>
      <c r="R40" s="777">
        <v>1</v>
      </c>
      <c r="S40" s="795" t="s">
        <v>109</v>
      </c>
      <c r="T40" s="778" t="s">
        <v>110</v>
      </c>
      <c r="U40" s="767" t="str">
        <f ca="1">OFFSET(U40,0,-1)</f>
        <v>2</v>
      </c>
      <c r="V40" s="779">
        <f ca="1">OFFSET(V40,0,-1)+1</f>
        <v>3</v>
      </c>
      <c r="W40" s="779">
        <f ca="1">OFFSET(W40,0,-1)+1</f>
        <v>4</v>
      </c>
      <c r="X40" s="779">
        <f ca="1">OFFSET(X40,0,-1)+1</f>
        <v>5</v>
      </c>
      <c r="Y40" s="779">
        <f ca="1">OFFSET(Y40,0,-1)+1</f>
        <v>6</v>
      </c>
      <c r="Z40" s="1347">
        <f ca="1">OFFSET(Z40,0,-1)+1</f>
        <v>7</v>
      </c>
      <c r="AA40" s="1347"/>
      <c r="AB40" s="779">
        <f ca="1">OFFSET(AB40,0,-2)+1</f>
        <v>8</v>
      </c>
      <c r="AC40" s="779">
        <f ca="1">OFFSET(AC40,0,-1)+1</f>
        <v>9</v>
      </c>
      <c r="AD40" s="779">
        <f ca="1">OFFSET(AD40,0,-1)+1</f>
        <v>10</v>
      </c>
      <c r="AE40" s="779">
        <f ca="1">OFFSET(AE40,0,-1)+1</f>
        <v>11</v>
      </c>
      <c r="AF40" s="779">
        <f ca="1">OFFSET(AF40,0,-1)+1</f>
        <v>12</v>
      </c>
      <c r="AG40" s="1347">
        <f ca="1">OFFSET(AG40,0,-1)+1</f>
        <v>13</v>
      </c>
      <c r="AH40" s="1347"/>
      <c r="AI40" s="779">
        <f ca="1">OFFSET(AI40,0,-2)+1</f>
        <v>14</v>
      </c>
      <c r="AJ40" s="767">
        <f ca="1">OFFSET(AJ40,0,-1)</f>
        <v>14</v>
      </c>
      <c r="AK40" s="779">
        <f ca="1">OFFSET(AK40,0,-1)+1</f>
        <v>15</v>
      </c>
      <c r="AL40" s="77"/>
      <c r="AM40" s="77"/>
      <c r="AN40" s="77"/>
      <c r="AO40" s="77"/>
      <c r="AP40" s="77"/>
    </row>
    <row r="41" spans="1:42" ht="23.25" customHeight="1">
      <c r="A41" s="822" t="s">
        <v>258</v>
      </c>
      <c r="B41" s="822"/>
      <c r="C41" s="822"/>
      <c r="D41" s="822"/>
      <c r="E41" s="1337">
        <v>1</v>
      </c>
      <c r="F41" s="822"/>
      <c r="G41" s="822"/>
      <c r="H41" s="822"/>
      <c r="I41" s="822"/>
      <c r="J41" s="822"/>
      <c r="K41" s="822"/>
      <c r="L41" s="823"/>
      <c r="M41" s="452"/>
      <c r="N41" s="452"/>
      <c r="O41" s="452"/>
      <c r="Q41" s="43"/>
      <c r="R41" s="220"/>
      <c r="S41" s="755">
        <f>INDEX(PT_DIFFERENTIATION_NUM_NTAR,MATCH(A41,PT_DIFFERENTIATION_NTAR_ID,0))</f>
        <v>0</v>
      </c>
      <c r="T41" s="76" t="s">
        <v>124</v>
      </c>
      <c r="U41" s="179"/>
      <c r="V41" s="1331"/>
      <c r="W41" s="1332"/>
      <c r="X41" s="1332"/>
      <c r="Y41" s="1332"/>
      <c r="Z41" s="1332"/>
      <c r="AA41" s="1332"/>
      <c r="AB41" s="1333"/>
      <c r="AC41" s="1331" t="str">
        <f>INDEX(PT_DIFFERENTIATION_NTAR,MATCH(A41,PT_DIFFERENTIATION_NTAR_ID,0))</f>
        <v/>
      </c>
      <c r="AD41" s="1332"/>
      <c r="AE41" s="1332"/>
      <c r="AF41" s="1332"/>
      <c r="AG41" s="1332"/>
      <c r="AH41" s="1332"/>
      <c r="AI41" s="1332"/>
      <c r="AJ41" s="1333"/>
      <c r="AK41" s="7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9"/>
      <c r="AN41" s="79" t="str">
        <f t="shared" ref="AN41:AN53" si="1">IF(T41="","",T41)</f>
        <v>Наименование тарифа</v>
      </c>
      <c r="AO41" s="79"/>
      <c r="AP41" s="79"/>
    </row>
    <row r="42" spans="1:42" ht="23.25" customHeight="1">
      <c r="A42" s="822" t="s">
        <v>258</v>
      </c>
      <c r="B42" s="822" t="s">
        <v>259</v>
      </c>
      <c r="C42" s="822"/>
      <c r="D42" s="822"/>
      <c r="E42" s="1338"/>
      <c r="F42" s="1337">
        <v>1</v>
      </c>
      <c r="G42" s="822"/>
      <c r="H42" s="822"/>
      <c r="I42" s="822"/>
      <c r="J42" s="822"/>
      <c r="K42" s="822"/>
      <c r="L42" s="823"/>
      <c r="M42" s="452"/>
      <c r="N42" s="452"/>
      <c r="O42" s="452"/>
      <c r="P42" s="68"/>
      <c r="Q42" s="217"/>
      <c r="R42" s="218"/>
      <c r="S42" s="755" t="str">
        <f>INDEX(PT_DIFFERENTIATION_NUM_TER,MATCH(B42,PT_DIFFERENTIATION_TER_ID,0))</f>
        <v>.</v>
      </c>
      <c r="T42" s="187" t="s">
        <v>1462</v>
      </c>
      <c r="U42" s="179"/>
      <c r="V42" s="1331"/>
      <c r="W42" s="1332"/>
      <c r="X42" s="1332"/>
      <c r="Y42" s="1332"/>
      <c r="Z42" s="1332"/>
      <c r="AA42" s="1332"/>
      <c r="AB42" s="1333"/>
      <c r="AC42" s="1331" t="str">
        <f>INDEX(PT_DIFFERENTIATION_TER,MATCH(B42,PT_DIFFERENTIATION_TER_ID,0))</f>
        <v/>
      </c>
      <c r="AD42" s="1332"/>
      <c r="AE42" s="1332"/>
      <c r="AF42" s="1332"/>
      <c r="AG42" s="1332"/>
      <c r="AH42" s="1332"/>
      <c r="AI42" s="1332"/>
      <c r="AJ42" s="1333"/>
      <c r="AK42" s="782" t="s">
        <v>1463</v>
      </c>
      <c r="AM42" s="79"/>
      <c r="AN42" s="79" t="str">
        <f t="shared" si="1"/>
        <v>Территория действия тарифа</v>
      </c>
      <c r="AO42" s="79"/>
      <c r="AP42" s="79"/>
    </row>
    <row r="43" spans="1:42" ht="23.25" customHeight="1">
      <c r="A43" s="822" t="s">
        <v>258</v>
      </c>
      <c r="B43" s="822" t="s">
        <v>259</v>
      </c>
      <c r="C43" s="822" t="s">
        <v>260</v>
      </c>
      <c r="D43" s="822"/>
      <c r="E43" s="1338"/>
      <c r="F43" s="1338"/>
      <c r="G43" s="1337">
        <v>1</v>
      </c>
      <c r="H43" s="822"/>
      <c r="I43" s="822"/>
      <c r="J43" s="822"/>
      <c r="K43" s="822"/>
      <c r="L43" s="823"/>
      <c r="M43" s="452"/>
      <c r="N43" s="452"/>
      <c r="O43" s="452"/>
      <c r="P43" s="219"/>
      <c r="Q43" s="217"/>
      <c r="R43" s="218"/>
      <c r="S43" s="755" t="str">
        <f>INDEX(PT_DIFFERENTIATION_NUM_CS,MATCH(C43,PT_DIFFERENTIATION_CS_ID,0))</f>
        <v>..</v>
      </c>
      <c r="T43" s="188" t="s">
        <v>2101</v>
      </c>
      <c r="U43" s="179"/>
      <c r="V43" s="1331"/>
      <c r="W43" s="1332"/>
      <c r="X43" s="1332"/>
      <c r="Y43" s="1332"/>
      <c r="Z43" s="1332"/>
      <c r="AA43" s="1332"/>
      <c r="AB43" s="1333"/>
      <c r="AC43" s="1331" t="str">
        <f>INDEX(PT_DIFFERENTIATION_CS,MATCH(C43,PT_DIFFERENTIATION_CS_ID,0))</f>
        <v/>
      </c>
      <c r="AD43" s="1332"/>
      <c r="AE43" s="1332"/>
      <c r="AF43" s="1332"/>
      <c r="AG43" s="1332"/>
      <c r="AH43" s="1332"/>
      <c r="AI43" s="1332"/>
      <c r="AJ43" s="1333"/>
      <c r="AK43" s="782" t="s">
        <v>2102</v>
      </c>
      <c r="AM43" s="79"/>
      <c r="AN43" s="79" t="str">
        <f t="shared" si="1"/>
        <v>Наименование централизованной системы водоотведения</v>
      </c>
      <c r="AO43" s="79"/>
      <c r="AP43" s="79"/>
    </row>
    <row r="44" spans="1:42" ht="23.25" customHeight="1">
      <c r="A44" s="822" t="s">
        <v>258</v>
      </c>
      <c r="B44" s="822" t="s">
        <v>259</v>
      </c>
      <c r="C44" s="822" t="s">
        <v>260</v>
      </c>
      <c r="D44" s="822" t="s">
        <v>2105</v>
      </c>
      <c r="E44" s="1338"/>
      <c r="F44" s="1338"/>
      <c r="G44" s="1338"/>
      <c r="H44" s="1338"/>
      <c r="I44" s="1339" t="str">
        <f>S43&amp;".1"</f>
        <v>...1</v>
      </c>
      <c r="J44" s="822"/>
      <c r="K44" s="822"/>
      <c r="L44" s="823"/>
      <c r="P44" s="1259">
        <v>1</v>
      </c>
      <c r="Q44" s="127"/>
      <c r="R44" s="221"/>
      <c r="S44" s="755" t="str">
        <f>$I44</f>
        <v>...1</v>
      </c>
      <c r="T44" s="172" t="s">
        <v>1683</v>
      </c>
      <c r="U44" s="179"/>
      <c r="V44" s="1429"/>
      <c r="W44" s="1430"/>
      <c r="X44" s="1430"/>
      <c r="Y44" s="1430"/>
      <c r="Z44" s="1430"/>
      <c r="AA44" s="1430"/>
      <c r="AB44" s="1431"/>
      <c r="AC44" s="1432"/>
      <c r="AD44" s="1433"/>
      <c r="AE44" s="1433"/>
      <c r="AF44" s="1433"/>
      <c r="AG44" s="1433"/>
      <c r="AH44" s="1433"/>
      <c r="AI44" s="1433"/>
      <c r="AJ44" s="1434"/>
      <c r="AK44" s="782" t="s">
        <v>1684</v>
      </c>
      <c r="AM44" s="79"/>
      <c r="AN44" s="79" t="str">
        <f t="shared" si="1"/>
        <v>Наименование признака дифференциации</v>
      </c>
      <c r="AO44" s="79"/>
      <c r="AP44" s="79"/>
    </row>
    <row r="45" spans="1:42" ht="23.25" customHeight="1">
      <c r="A45" s="822" t="s">
        <v>258</v>
      </c>
      <c r="B45" s="822" t="s">
        <v>259</v>
      </c>
      <c r="C45" s="822" t="s">
        <v>260</v>
      </c>
      <c r="D45" s="822" t="s">
        <v>2105</v>
      </c>
      <c r="E45" s="1338"/>
      <c r="F45" s="1338"/>
      <c r="G45" s="1338"/>
      <c r="H45" s="1338"/>
      <c r="I45" s="1340"/>
      <c r="J45" s="1339" t="str">
        <f>I44&amp;".1"</f>
        <v>...1.1</v>
      </c>
      <c r="K45" s="822"/>
      <c r="L45" s="823" t="s">
        <v>1471</v>
      </c>
      <c r="P45" s="1259"/>
      <c r="Q45" s="1259">
        <v>1</v>
      </c>
      <c r="R45" s="222"/>
      <c r="S45" s="755" t="str">
        <f>$J45</f>
        <v>...1.1</v>
      </c>
      <c r="T45" s="173" t="s">
        <v>1472</v>
      </c>
      <c r="U45" s="179"/>
      <c r="V45" s="1326"/>
      <c r="W45" s="1327"/>
      <c r="X45" s="1327"/>
      <c r="Y45" s="1327"/>
      <c r="Z45" s="1327"/>
      <c r="AA45" s="1327"/>
      <c r="AB45" s="1328"/>
      <c r="AC45" s="1326"/>
      <c r="AD45" s="1327"/>
      <c r="AE45" s="1327"/>
      <c r="AF45" s="1327"/>
      <c r="AG45" s="1327"/>
      <c r="AH45" s="1327"/>
      <c r="AI45" s="1327"/>
      <c r="AJ45" s="1328"/>
      <c r="AK45" s="809" t="s">
        <v>1685</v>
      </c>
      <c r="AM45" s="79"/>
      <c r="AN45" s="79" t="str">
        <f t="shared" si="1"/>
        <v>Группа потребителей</v>
      </c>
      <c r="AO45" s="79"/>
      <c r="AP45" s="79"/>
    </row>
    <row r="46" spans="1:42" ht="23.25" customHeight="1">
      <c r="A46" s="822" t="s">
        <v>258</v>
      </c>
      <c r="B46" s="822" t="s">
        <v>259</v>
      </c>
      <c r="C46" s="822" t="s">
        <v>260</v>
      </c>
      <c r="D46" s="822" t="s">
        <v>2105</v>
      </c>
      <c r="E46" s="1338"/>
      <c r="F46" s="1338"/>
      <c r="G46" s="1338"/>
      <c r="H46" s="1338"/>
      <c r="I46" s="1340"/>
      <c r="J46" s="1340"/>
      <c r="K46" s="1339" t="str">
        <f>J45&amp;".1"</f>
        <v>...1.1.1</v>
      </c>
      <c r="L46" s="823"/>
      <c r="P46" s="1259"/>
      <c r="Q46" s="1259"/>
      <c r="R46" s="222">
        <v>1</v>
      </c>
      <c r="S46" s="755" t="str">
        <f>$K46</f>
        <v>...1.1.1</v>
      </c>
      <c r="T46" s="853"/>
      <c r="U46" s="179"/>
      <c r="V46" s="1058"/>
      <c r="W46" s="1058"/>
      <c r="X46" s="1059"/>
      <c r="Y46" s="1335"/>
      <c r="Z46" s="1334" t="s">
        <v>67</v>
      </c>
      <c r="AA46" s="1335"/>
      <c r="AB46" s="1334" t="s">
        <v>67</v>
      </c>
      <c r="AC46" s="1054"/>
      <c r="AD46" s="1054"/>
      <c r="AE46" s="1056"/>
      <c r="AF46" s="1341"/>
      <c r="AG46" s="1133" t="s">
        <v>67</v>
      </c>
      <c r="AH46" s="1343"/>
      <c r="AI46" s="1133" t="s">
        <v>57</v>
      </c>
      <c r="AJ46" s="1082"/>
      <c r="AK46" s="143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7" t="e">
        <f ca="1">STRCHECKDATE(V47:AJ47)</f>
        <v>#NAME?</v>
      </c>
      <c r="AM46" s="79"/>
      <c r="AN46" s="79" t="str">
        <f t="shared" si="1"/>
        <v/>
      </c>
      <c r="AO46" s="79"/>
      <c r="AP46" s="79"/>
    </row>
    <row r="47" spans="1:42" ht="0" hidden="1" customHeight="1">
      <c r="A47" s="822" t="s">
        <v>258</v>
      </c>
      <c r="B47" s="822" t="s">
        <v>259</v>
      </c>
      <c r="C47" s="822" t="s">
        <v>260</v>
      </c>
      <c r="D47" s="822" t="s">
        <v>2105</v>
      </c>
      <c r="E47" s="1338"/>
      <c r="F47" s="1338"/>
      <c r="G47" s="1338"/>
      <c r="H47" s="1338"/>
      <c r="I47" s="1340"/>
      <c r="J47" s="1340"/>
      <c r="K47" s="1339"/>
      <c r="L47" s="823"/>
      <c r="P47" s="1259"/>
      <c r="Q47" s="1259"/>
      <c r="R47" s="222"/>
      <c r="S47" s="74"/>
      <c r="T47" s="179"/>
      <c r="U47" s="179"/>
      <c r="V47" s="1058"/>
      <c r="W47" s="1058"/>
      <c r="X47" s="1057" t="str">
        <f>Y46&amp;"-"&amp;AA46</f>
        <v>-</v>
      </c>
      <c r="Y47" s="1334"/>
      <c r="Z47" s="1334"/>
      <c r="AA47" s="1334"/>
      <c r="AB47" s="1334"/>
      <c r="AC47" s="1055"/>
      <c r="AD47" s="1055"/>
      <c r="AE47" s="1057" t="str">
        <f>AF46&amp;"-"&amp;AH46</f>
        <v>-</v>
      </c>
      <c r="AF47" s="1342"/>
      <c r="AG47" s="1133"/>
      <c r="AH47" s="1344"/>
      <c r="AI47" s="1133"/>
      <c r="AJ47" s="1083"/>
      <c r="AK47" s="1435"/>
      <c r="AM47" s="79"/>
      <c r="AN47" s="79" t="str">
        <f t="shared" si="1"/>
        <v/>
      </c>
      <c r="AO47" s="79"/>
      <c r="AP47" s="79"/>
    </row>
    <row r="48" spans="1:42" ht="21" customHeight="1">
      <c r="A48" s="822" t="s">
        <v>258</v>
      </c>
      <c r="B48" s="822" t="s">
        <v>259</v>
      </c>
      <c r="C48" s="822" t="s">
        <v>260</v>
      </c>
      <c r="D48" s="822" t="s">
        <v>2105</v>
      </c>
      <c r="E48" s="1338"/>
      <c r="F48" s="1338"/>
      <c r="G48" s="1338"/>
      <c r="H48" s="1338"/>
      <c r="I48" s="1340"/>
      <c r="J48" s="1339"/>
      <c r="K48" s="822"/>
      <c r="L48" s="823"/>
      <c r="P48" s="1259"/>
      <c r="Q48" s="1259"/>
      <c r="R48" s="221"/>
      <c r="S48" s="796"/>
      <c r="T48" s="174" t="s">
        <v>1686</v>
      </c>
      <c r="U48" s="228"/>
      <c r="V48" s="228"/>
      <c r="W48" s="228"/>
      <c r="X48" s="228"/>
      <c r="Y48" s="228"/>
      <c r="Z48" s="228"/>
      <c r="AA48" s="228"/>
      <c r="AB48" s="228"/>
      <c r="AC48" s="228"/>
      <c r="AD48" s="228"/>
      <c r="AE48" s="228"/>
      <c r="AF48" s="228"/>
      <c r="AG48" s="228"/>
      <c r="AH48" s="228"/>
      <c r="AI48" s="228"/>
      <c r="AJ48" s="228"/>
      <c r="AK48" s="782" t="s">
        <v>1687</v>
      </c>
      <c r="AM48" s="79"/>
      <c r="AN48" s="79" t="str">
        <f t="shared" si="1"/>
        <v>Добавить значение признака дифференциации</v>
      </c>
      <c r="AO48" s="79"/>
      <c r="AP48" s="79"/>
    </row>
    <row r="49" spans="1:42" ht="21" customHeight="1">
      <c r="A49" s="822" t="s">
        <v>258</v>
      </c>
      <c r="B49" s="822" t="s">
        <v>259</v>
      </c>
      <c r="C49" s="822" t="s">
        <v>260</v>
      </c>
      <c r="D49" s="822" t="s">
        <v>2105</v>
      </c>
      <c r="E49" s="1338"/>
      <c r="F49" s="1338"/>
      <c r="G49" s="1338"/>
      <c r="H49" s="1338"/>
      <c r="I49" s="1339"/>
      <c r="J49" s="822"/>
      <c r="K49" s="822"/>
      <c r="L49" s="823"/>
      <c r="P49" s="1259"/>
      <c r="Q49" s="127"/>
      <c r="R49" s="221"/>
      <c r="S49" s="796"/>
      <c r="T49" s="226" t="s">
        <v>1477</v>
      </c>
      <c r="U49" s="228"/>
      <c r="V49" s="228"/>
      <c r="W49" s="228"/>
      <c r="X49" s="228"/>
      <c r="Y49" s="228"/>
      <c r="Z49" s="228"/>
      <c r="AA49" s="228"/>
      <c r="AB49" s="205"/>
      <c r="AC49" s="228"/>
      <c r="AD49" s="228"/>
      <c r="AE49" s="228"/>
      <c r="AF49" s="228"/>
      <c r="AG49" s="228"/>
      <c r="AH49" s="228"/>
      <c r="AI49" s="205"/>
      <c r="AJ49" s="228"/>
      <c r="AK49" s="854"/>
      <c r="AM49" s="79"/>
      <c r="AN49" s="79" t="str">
        <f t="shared" si="1"/>
        <v>Добавить группу потребителей</v>
      </c>
      <c r="AO49" s="79"/>
      <c r="AP49" s="79"/>
    </row>
    <row r="50" spans="1:42" ht="21" customHeight="1">
      <c r="A50" s="822" t="s">
        <v>258</v>
      </c>
      <c r="B50" s="822" t="s">
        <v>259</v>
      </c>
      <c r="C50" s="822" t="s">
        <v>260</v>
      </c>
      <c r="D50" s="822" t="s">
        <v>2105</v>
      </c>
      <c r="E50" s="1338"/>
      <c r="F50" s="1338"/>
      <c r="G50" s="1338"/>
      <c r="H50" s="1337"/>
      <c r="I50" s="822"/>
      <c r="J50" s="822"/>
      <c r="K50" s="822"/>
      <c r="L50" s="823"/>
      <c r="M50" s="452"/>
      <c r="N50" s="452"/>
      <c r="O50" s="72"/>
      <c r="P50" s="43"/>
      <c r="Q50" s="231"/>
      <c r="R50" s="220"/>
      <c r="S50" s="796"/>
      <c r="T50" s="113" t="s">
        <v>1688</v>
      </c>
      <c r="U50" s="228"/>
      <c r="V50" s="228"/>
      <c r="W50" s="228"/>
      <c r="X50" s="228"/>
      <c r="Y50" s="228"/>
      <c r="Z50" s="228"/>
      <c r="AA50" s="228"/>
      <c r="AB50" s="205"/>
      <c r="AC50" s="228"/>
      <c r="AD50" s="228"/>
      <c r="AE50" s="228"/>
      <c r="AF50" s="228"/>
      <c r="AG50" s="228"/>
      <c r="AH50" s="228"/>
      <c r="AI50" s="205"/>
      <c r="AJ50" s="228"/>
      <c r="AK50" s="182"/>
      <c r="AM50" s="79"/>
      <c r="AN50" s="79" t="str">
        <f t="shared" si="1"/>
        <v>Добавить наименование признака дифференциации</v>
      </c>
      <c r="AO50" s="79"/>
      <c r="AP50" s="79"/>
    </row>
    <row r="51" spans="1:42" s="77" customFormat="1" ht="0.75" customHeight="1">
      <c r="A51" s="150" t="s">
        <v>258</v>
      </c>
      <c r="B51" s="150" t="s">
        <v>259</v>
      </c>
      <c r="C51" s="150"/>
      <c r="D51" s="150"/>
      <c r="E51" s="1338"/>
      <c r="F51" s="1337"/>
      <c r="G51" s="150"/>
      <c r="H51" s="150"/>
      <c r="I51" s="150"/>
      <c r="J51" s="150"/>
      <c r="K51" s="150"/>
      <c r="L51" s="373"/>
      <c r="M51" s="815"/>
      <c r="N51" s="815"/>
      <c r="P51" s="111"/>
      <c r="Q51" s="811"/>
      <c r="R51" s="111"/>
      <c r="S51" s="816"/>
      <c r="T51" s="818" t="s">
        <v>1438</v>
      </c>
      <c r="U51" s="338"/>
      <c r="V51" s="338"/>
      <c r="W51" s="338"/>
      <c r="X51" s="338"/>
      <c r="Y51" s="338"/>
      <c r="Z51" s="338"/>
      <c r="AA51" s="338"/>
      <c r="AB51" s="338"/>
      <c r="AC51" s="338"/>
      <c r="AD51" s="338"/>
      <c r="AE51" s="338"/>
      <c r="AF51" s="338"/>
      <c r="AG51" s="338"/>
      <c r="AH51" s="338"/>
      <c r="AI51" s="338"/>
      <c r="AJ51" s="338"/>
      <c r="AK51" s="338"/>
      <c r="AM51" s="79"/>
      <c r="AN51" s="79" t="str">
        <f t="shared" si="1"/>
        <v>Добавить централизованную систему для дифференциации</v>
      </c>
      <c r="AO51" s="79"/>
      <c r="AP51" s="79"/>
    </row>
    <row r="52" spans="1:42" s="77" customFormat="1" ht="0.75" customHeight="1">
      <c r="A52" s="150" t="s">
        <v>258</v>
      </c>
      <c r="B52" s="150"/>
      <c r="C52" s="150"/>
      <c r="D52" s="150"/>
      <c r="E52" s="1337"/>
      <c r="F52" s="150"/>
      <c r="G52" s="150"/>
      <c r="H52" s="150"/>
      <c r="I52" s="150"/>
      <c r="J52" s="150"/>
      <c r="K52" s="150"/>
      <c r="L52" s="373"/>
      <c r="M52" s="815"/>
      <c r="N52" s="815"/>
      <c r="P52" s="111"/>
      <c r="Q52" s="811"/>
      <c r="R52" s="111"/>
      <c r="S52" s="816"/>
      <c r="T52" s="818" t="s">
        <v>1439</v>
      </c>
      <c r="U52" s="338"/>
      <c r="V52" s="338"/>
      <c r="W52" s="338"/>
      <c r="X52" s="338"/>
      <c r="Y52" s="338"/>
      <c r="Z52" s="338"/>
      <c r="AA52" s="338"/>
      <c r="AB52" s="338"/>
      <c r="AC52" s="338"/>
      <c r="AD52" s="338"/>
      <c r="AE52" s="338"/>
      <c r="AF52" s="338"/>
      <c r="AG52" s="338"/>
      <c r="AH52" s="338"/>
      <c r="AI52" s="338"/>
      <c r="AJ52" s="338"/>
      <c r="AK52" s="338"/>
      <c r="AM52" s="79"/>
      <c r="AN52" s="79" t="str">
        <f t="shared" si="1"/>
        <v>Добавить территорию для дифференциации</v>
      </c>
      <c r="AO52" s="79"/>
      <c r="AP52" s="79"/>
    </row>
    <row r="53" spans="1:42" s="77" customFormat="1" ht="0.75" customHeight="1">
      <c r="A53" s="150"/>
      <c r="B53" s="150"/>
      <c r="C53" s="150"/>
      <c r="D53" s="150"/>
      <c r="E53" s="150"/>
      <c r="F53" s="150"/>
      <c r="G53" s="150"/>
      <c r="H53" s="150"/>
      <c r="I53" s="150"/>
      <c r="J53" s="150"/>
      <c r="K53" s="150"/>
      <c r="L53" s="373"/>
      <c r="M53" s="815"/>
      <c r="N53" s="815"/>
      <c r="P53" s="111"/>
      <c r="Q53" s="811"/>
      <c r="R53" s="111"/>
      <c r="S53" s="816"/>
      <c r="T53" s="818" t="s">
        <v>1440</v>
      </c>
      <c r="U53" s="338"/>
      <c r="V53" s="338"/>
      <c r="W53" s="338"/>
      <c r="X53" s="338"/>
      <c r="Y53" s="338"/>
      <c r="Z53" s="338"/>
      <c r="AA53" s="338"/>
      <c r="AB53" s="338"/>
      <c r="AC53" s="338"/>
      <c r="AD53" s="338"/>
      <c r="AE53" s="338"/>
      <c r="AF53" s="338"/>
      <c r="AG53" s="338"/>
      <c r="AH53" s="338"/>
      <c r="AI53" s="338"/>
      <c r="AJ53" s="338"/>
      <c r="AK53" s="338"/>
      <c r="AM53" s="79"/>
      <c r="AN53" s="79" t="str">
        <f t="shared" si="1"/>
        <v>Добавить наименование тарифа</v>
      </c>
      <c r="AO53" s="79"/>
      <c r="AP53" s="79"/>
    </row>
    <row r="54" spans="1:42" ht="11.25" customHeight="1">
      <c r="M54" s="72"/>
      <c r="N54" s="72"/>
      <c r="O54" s="72"/>
      <c r="P54" s="24"/>
      <c r="Q54" s="24"/>
      <c r="R54" s="24"/>
      <c r="S54" s="24"/>
      <c r="AL54" s="24"/>
      <c r="AM54" s="24"/>
      <c r="AN54" s="24"/>
      <c r="AO54" s="24"/>
      <c r="AP54" s="24"/>
    </row>
    <row r="55" spans="1:42" ht="14.25" customHeight="1">
      <c r="O55" s="72"/>
      <c r="S55" s="210" t="s">
        <v>1510</v>
      </c>
      <c r="T55" s="1336" t="s">
        <v>2106</v>
      </c>
      <c r="U55" s="1336"/>
      <c r="V55" s="1336"/>
      <c r="W55" s="1336"/>
      <c r="X55" s="1336"/>
      <c r="Y55" s="1336"/>
      <c r="Z55" s="1336"/>
      <c r="AA55" s="1336"/>
      <c r="AB55" s="1336"/>
      <c r="AC55" s="1336"/>
      <c r="AD55" s="1336"/>
      <c r="AE55" s="1336"/>
      <c r="AF55" s="1336"/>
      <c r="AG55" s="1336"/>
      <c r="AH55" s="1336"/>
      <c r="AI55" s="1336"/>
      <c r="AJ55" s="1336"/>
      <c r="AK55" s="1336"/>
    </row>
    <row r="56" spans="1:42" ht="14.25" customHeight="1">
      <c r="O56" s="72"/>
    </row>
    <row r="57" spans="1:42" ht="14.25" customHeight="1">
      <c r="O57" s="72"/>
      <c r="S57" s="210" t="s">
        <v>1510</v>
      </c>
      <c r="T57" s="1336" t="s">
        <v>2107</v>
      </c>
      <c r="U57" s="1336"/>
      <c r="V57" s="1336"/>
      <c r="W57" s="1336"/>
      <c r="X57" s="1336"/>
      <c r="Y57" s="1336"/>
      <c r="Z57" s="1336"/>
      <c r="AA57" s="1336"/>
      <c r="AB57" s="1336"/>
      <c r="AC57" s="1336"/>
      <c r="AD57" s="1336"/>
      <c r="AE57" s="1336"/>
      <c r="AF57" s="1336"/>
      <c r="AG57" s="1336"/>
      <c r="AH57" s="1336"/>
      <c r="AI57" s="1336"/>
      <c r="AJ57" s="1336"/>
      <c r="AK57" s="1336"/>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33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33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3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33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33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33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33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33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44C273-E901-BE88-7A8D-F08E0FD34CC7}">
  <sheetPr>
    <tabColor theme="6" tint="0.39997558519241921"/>
  </sheetPr>
  <dimension ref="A1:AP57"/>
  <sheetViews>
    <sheetView showGridLines="0" topLeftCell="P23" workbookViewId="0"/>
  </sheetViews>
  <sheetFormatPr defaultColWidth="10.5703125" defaultRowHeight="14.25" customHeight="1"/>
  <cols>
    <col min="1" max="1" width="10.5703125" style="72" hidden="1"/>
    <col min="2" max="2" width="11" style="72" hidden="1" customWidth="1"/>
    <col min="3" max="3" width="10.5703125" style="72" hidden="1"/>
    <col min="4" max="4" width="11.85546875" style="72" hidden="1" customWidth="1"/>
    <col min="5" max="5" width="10" style="72" hidden="1" customWidth="1"/>
    <col min="6" max="6" width="8.7109375" style="72" hidden="1" customWidth="1"/>
    <col min="7" max="7" width="7.5703125" style="72" hidden="1" customWidth="1"/>
    <col min="8" max="8" width="11.42578125" style="72" hidden="1" customWidth="1"/>
    <col min="9" max="9" width="14.140625" style="72" hidden="1" customWidth="1"/>
    <col min="10" max="10" width="9.85546875" style="72" hidden="1" customWidth="1"/>
    <col min="11" max="11" width="14.7109375" style="72" hidden="1" customWidth="1"/>
    <col min="12" max="12" width="19.140625" style="388" hidden="1" customWidth="1"/>
    <col min="13" max="14" width="12.28515625" style="541" hidden="1" customWidth="1"/>
    <col min="15" max="15" width="23.42578125" style="541" hidden="1" customWidth="1"/>
    <col min="16" max="16" width="3.7109375" style="42" customWidth="1"/>
    <col min="17" max="18" width="3.7109375" style="37" customWidth="1"/>
    <col min="19" max="19" width="12.7109375" style="368" customWidth="1"/>
    <col min="20" max="20" width="35.7109375" style="24" customWidth="1"/>
    <col min="21" max="21" width="0.140625" style="24" customWidth="1"/>
    <col min="22" max="24" width="24.7109375" style="24" hidden="1" customWidth="1"/>
    <col min="25" max="25" width="11.7109375" style="24" hidden="1" customWidth="1"/>
    <col min="26" max="26" width="3.7109375" style="24" hidden="1" customWidth="1"/>
    <col min="27" max="27" width="11.7109375" style="24" hidden="1" customWidth="1"/>
    <col min="28" max="28" width="8.5703125" style="24" hidden="1" customWidth="1"/>
    <col min="29" max="31" width="24.7109375" style="24" customWidth="1"/>
    <col min="32" max="32" width="11.7109375" style="24" customWidth="1"/>
    <col min="33" max="33" width="3.7109375" style="24" customWidth="1"/>
    <col min="34" max="34" width="11.7109375" style="24" customWidth="1"/>
    <col min="35" max="35" width="8.5703125" style="24" hidden="1" customWidth="1"/>
    <col min="36" max="36" width="4.7109375" style="24" customWidth="1"/>
    <col min="37" max="37" width="115.7109375" style="24" customWidth="1"/>
    <col min="38" max="39" width="10.5703125" style="77"/>
    <col min="40" max="40" width="11.140625" style="77" customWidth="1"/>
    <col min="41" max="42" width="10.5703125" style="77"/>
  </cols>
  <sheetData>
    <row r="1" spans="1:42" ht="14.25" hidden="1" customHeight="1"/>
    <row r="2" spans="1:42" ht="23.25" hidden="1" customHeight="1">
      <c r="A2" s="822"/>
      <c r="B2" s="822"/>
      <c r="C2" s="822"/>
      <c r="D2" s="822"/>
      <c r="E2" s="1337">
        <v>1</v>
      </c>
      <c r="F2" s="822"/>
      <c r="G2" s="822"/>
      <c r="H2" s="822"/>
      <c r="I2" s="822"/>
      <c r="J2" s="822"/>
      <c r="K2" s="822"/>
      <c r="L2" s="823"/>
      <c r="M2" s="452"/>
      <c r="N2" s="452"/>
      <c r="O2" s="452"/>
      <c r="Q2" s="43"/>
      <c r="R2" s="220"/>
      <c r="S2" s="755" t="e">
        <f>INDEX(PT_DIFFERENTIATION_NUM_NTAR,MATCH(A2,PT_DIFFERENTIATION_NTAR_ID,0))</f>
        <v>#N/A</v>
      </c>
      <c r="T2" s="76" t="s">
        <v>124</v>
      </c>
      <c r="U2" s="179"/>
      <c r="V2" s="1331"/>
      <c r="W2" s="1332"/>
      <c r="X2" s="1332"/>
      <c r="Y2" s="1332"/>
      <c r="Z2" s="1332"/>
      <c r="AA2" s="1332"/>
      <c r="AB2" s="1333"/>
      <c r="AC2" s="1331" t="e">
        <f>INDEX(PT_DIFFERENTIATION_NTAR,MATCH(A2,PT_DIFFERENTIATION_NTAR_ID,0))</f>
        <v>#N/A</v>
      </c>
      <c r="AD2" s="1332"/>
      <c r="AE2" s="1332"/>
      <c r="AF2" s="1332"/>
      <c r="AG2" s="1332"/>
      <c r="AH2" s="1332"/>
      <c r="AI2" s="1332"/>
      <c r="AJ2" s="1333"/>
      <c r="AK2" s="7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9"/>
      <c r="AN2" s="79" t="str">
        <f t="shared" ref="AN2:AN13" si="0">IF(T2="","",T2)</f>
        <v>Наименование тарифа</v>
      </c>
      <c r="AO2" s="79"/>
      <c r="AP2" s="79"/>
    </row>
    <row r="3" spans="1:42" ht="23.25" hidden="1" customHeight="1">
      <c r="A3" s="822"/>
      <c r="B3" s="822"/>
      <c r="C3" s="822"/>
      <c r="D3" s="822"/>
      <c r="E3" s="1338"/>
      <c r="F3" s="1337">
        <v>1</v>
      </c>
      <c r="G3" s="822"/>
      <c r="H3" s="822"/>
      <c r="I3" s="822"/>
      <c r="J3" s="822"/>
      <c r="K3" s="822"/>
      <c r="L3" s="823"/>
      <c r="M3" s="452"/>
      <c r="N3" s="452"/>
      <c r="O3" s="452"/>
      <c r="P3" s="68"/>
      <c r="Q3" s="217"/>
      <c r="R3" s="218"/>
      <c r="S3" s="755" t="e">
        <f>INDEX(PT_DIFFERENTIATION_NUM_TER,MATCH(B3,PT_DIFFERENTIATION_TER_ID,0))</f>
        <v>#N/A</v>
      </c>
      <c r="T3" s="187" t="s">
        <v>1462</v>
      </c>
      <c r="U3" s="179"/>
      <c r="V3" s="1331"/>
      <c r="W3" s="1332"/>
      <c r="X3" s="1332"/>
      <c r="Y3" s="1332"/>
      <c r="Z3" s="1332"/>
      <c r="AA3" s="1332"/>
      <c r="AB3" s="1333"/>
      <c r="AC3" s="1331" t="e">
        <f>INDEX(PT_DIFFERENTIATION_TER,MATCH(B3,PT_DIFFERENTIATION_TER_ID,0))</f>
        <v>#N/A</v>
      </c>
      <c r="AD3" s="1332"/>
      <c r="AE3" s="1332"/>
      <c r="AF3" s="1332"/>
      <c r="AG3" s="1332"/>
      <c r="AH3" s="1332"/>
      <c r="AI3" s="1332"/>
      <c r="AJ3" s="1333"/>
      <c r="AK3" s="782" t="s">
        <v>1463</v>
      </c>
      <c r="AM3" s="79"/>
      <c r="AN3" s="79" t="str">
        <f t="shared" si="0"/>
        <v>Территория действия тарифа</v>
      </c>
      <c r="AO3" s="79"/>
      <c r="AP3" s="79"/>
    </row>
    <row r="4" spans="1:42" ht="23.25" hidden="1" customHeight="1">
      <c r="A4" s="822"/>
      <c r="B4" s="822"/>
      <c r="C4" s="822"/>
      <c r="D4" s="822"/>
      <c r="E4" s="1338"/>
      <c r="F4" s="1338"/>
      <c r="G4" s="1337">
        <v>1</v>
      </c>
      <c r="H4" s="822"/>
      <c r="I4" s="822"/>
      <c r="J4" s="822"/>
      <c r="K4" s="822"/>
      <c r="L4" s="823"/>
      <c r="M4" s="452"/>
      <c r="N4" s="452"/>
      <c r="O4" s="452"/>
      <c r="P4" s="219"/>
      <c r="Q4" s="217"/>
      <c r="R4" s="218"/>
      <c r="S4" s="755" t="e">
        <f>INDEX(PT_DIFFERENTIATION_NUM_CS,MATCH(C4,PT_DIFFERENTIATION_CS_ID,0))</f>
        <v>#N/A</v>
      </c>
      <c r="T4" s="188" t="s">
        <v>2101</v>
      </c>
      <c r="U4" s="179"/>
      <c r="V4" s="1331"/>
      <c r="W4" s="1332"/>
      <c r="X4" s="1332"/>
      <c r="Y4" s="1332"/>
      <c r="Z4" s="1332"/>
      <c r="AA4" s="1332"/>
      <c r="AB4" s="1333"/>
      <c r="AC4" s="1331" t="e">
        <f>INDEX(PT_DIFFERENTIATION_CS,MATCH(C4,PT_DIFFERENTIATION_CS_ID,0))</f>
        <v>#N/A</v>
      </c>
      <c r="AD4" s="1332"/>
      <c r="AE4" s="1332"/>
      <c r="AF4" s="1332"/>
      <c r="AG4" s="1332"/>
      <c r="AH4" s="1332"/>
      <c r="AI4" s="1332"/>
      <c r="AJ4" s="1333"/>
      <c r="AK4" s="782" t="s">
        <v>2102</v>
      </c>
      <c r="AM4" s="79"/>
      <c r="AN4" s="79" t="str">
        <f t="shared" si="0"/>
        <v>Наименование централизованной системы водоотведения</v>
      </c>
      <c r="AO4" s="79"/>
      <c r="AP4" s="79"/>
    </row>
    <row r="5" spans="1:42" ht="23.25" hidden="1" customHeight="1">
      <c r="A5" s="822"/>
      <c r="B5" s="822"/>
      <c r="C5" s="822"/>
      <c r="D5" s="822"/>
      <c r="E5" s="1338"/>
      <c r="F5" s="1338"/>
      <c r="G5" s="1338"/>
      <c r="H5" s="1338"/>
      <c r="I5" s="1339" t="e">
        <f>S4&amp;".1"</f>
        <v>#N/A</v>
      </c>
      <c r="J5" s="822"/>
      <c r="K5" s="822"/>
      <c r="L5" s="823"/>
      <c r="P5" s="1259">
        <v>1</v>
      </c>
      <c r="Q5" s="127"/>
      <c r="R5" s="221"/>
      <c r="S5" s="755" t="e">
        <f>$I5</f>
        <v>#N/A</v>
      </c>
      <c r="T5" s="172" t="s">
        <v>1683</v>
      </c>
      <c r="U5" s="179"/>
      <c r="V5" s="1429"/>
      <c r="W5" s="1430"/>
      <c r="X5" s="1430"/>
      <c r="Y5" s="1430"/>
      <c r="Z5" s="1430"/>
      <c r="AA5" s="1430"/>
      <c r="AB5" s="1431"/>
      <c r="AC5" s="1432"/>
      <c r="AD5" s="1433"/>
      <c r="AE5" s="1433"/>
      <c r="AF5" s="1433"/>
      <c r="AG5" s="1433"/>
      <c r="AH5" s="1433"/>
      <c r="AI5" s="1433"/>
      <c r="AJ5" s="1434"/>
      <c r="AK5" s="782" t="s">
        <v>1684</v>
      </c>
      <c r="AM5" s="79"/>
      <c r="AN5" s="79" t="str">
        <f t="shared" si="0"/>
        <v>Наименование признака дифференциации</v>
      </c>
      <c r="AO5" s="79"/>
      <c r="AP5" s="79"/>
    </row>
    <row r="6" spans="1:42" ht="23.25" hidden="1" customHeight="1">
      <c r="A6" s="822"/>
      <c r="B6" s="822"/>
      <c r="C6" s="822"/>
      <c r="D6" s="822"/>
      <c r="E6" s="1338"/>
      <c r="F6" s="1338"/>
      <c r="G6" s="1338"/>
      <c r="H6" s="1338"/>
      <c r="I6" s="1340"/>
      <c r="J6" s="1339" t="e">
        <f>I5&amp;".1"</f>
        <v>#N/A</v>
      </c>
      <c r="K6" s="822"/>
      <c r="L6" s="823" t="s">
        <v>1471</v>
      </c>
      <c r="P6" s="1259"/>
      <c r="Q6" s="1259">
        <v>1</v>
      </c>
      <c r="R6" s="222"/>
      <c r="S6" s="755" t="e">
        <f>$J6</f>
        <v>#N/A</v>
      </c>
      <c r="T6" s="173" t="s">
        <v>1472</v>
      </c>
      <c r="U6" s="179"/>
      <c r="V6" s="1326"/>
      <c r="W6" s="1327"/>
      <c r="X6" s="1327"/>
      <c r="Y6" s="1327"/>
      <c r="Z6" s="1327"/>
      <c r="AA6" s="1327"/>
      <c r="AB6" s="1328"/>
      <c r="AC6" s="1326"/>
      <c r="AD6" s="1327"/>
      <c r="AE6" s="1327"/>
      <c r="AF6" s="1327"/>
      <c r="AG6" s="1327"/>
      <c r="AH6" s="1327"/>
      <c r="AI6" s="1327"/>
      <c r="AJ6" s="1328"/>
      <c r="AK6" s="809" t="s">
        <v>1685</v>
      </c>
      <c r="AM6" s="79"/>
      <c r="AN6" s="79" t="str">
        <f t="shared" si="0"/>
        <v>Группа потребителей</v>
      </c>
      <c r="AO6" s="79"/>
      <c r="AP6" s="79"/>
    </row>
    <row r="7" spans="1:42" ht="23.25" hidden="1" customHeight="1">
      <c r="A7" s="822"/>
      <c r="B7" s="822"/>
      <c r="C7" s="822"/>
      <c r="D7" s="822"/>
      <c r="E7" s="1338"/>
      <c r="F7" s="1338"/>
      <c r="G7" s="1338"/>
      <c r="H7" s="1338"/>
      <c r="I7" s="1340"/>
      <c r="J7" s="1340"/>
      <c r="K7" s="1339" t="e">
        <f>J6&amp;".1"</f>
        <v>#N/A</v>
      </c>
      <c r="L7" s="823"/>
      <c r="P7" s="1259"/>
      <c r="Q7" s="1259"/>
      <c r="R7" s="222">
        <v>1</v>
      </c>
      <c r="S7" s="755" t="e">
        <f>$K7</f>
        <v>#N/A</v>
      </c>
      <c r="T7" s="853"/>
      <c r="U7" s="179"/>
      <c r="V7" s="1054"/>
      <c r="W7" s="1054"/>
      <c r="X7" s="1056"/>
      <c r="Y7" s="1341"/>
      <c r="Z7" s="1133" t="s">
        <v>67</v>
      </c>
      <c r="AA7" s="1341"/>
      <c r="AB7" s="1133" t="s">
        <v>67</v>
      </c>
      <c r="AC7" s="1054"/>
      <c r="AD7" s="1054"/>
      <c r="AE7" s="1056"/>
      <c r="AF7" s="1341"/>
      <c r="AG7" s="1133" t="s">
        <v>67</v>
      </c>
      <c r="AH7" s="1343"/>
      <c r="AI7" s="1133" t="s">
        <v>67</v>
      </c>
      <c r="AJ7" s="1082"/>
      <c r="AK7" s="143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7" t="e">
        <f ca="1">STRCHECKDATE(V8:AJ8)</f>
        <v>#NAME?</v>
      </c>
      <c r="AM7" s="79"/>
      <c r="AN7" s="79" t="str">
        <f t="shared" si="0"/>
        <v/>
      </c>
      <c r="AO7" s="79"/>
      <c r="AP7" s="79"/>
    </row>
    <row r="8" spans="1:42" ht="0.75" hidden="1" customHeight="1">
      <c r="A8" s="822"/>
      <c r="B8" s="822"/>
      <c r="C8" s="822"/>
      <c r="D8" s="822"/>
      <c r="E8" s="1338"/>
      <c r="F8" s="1338"/>
      <c r="G8" s="1338"/>
      <c r="H8" s="1338"/>
      <c r="I8" s="1340"/>
      <c r="J8" s="1340"/>
      <c r="K8" s="1339"/>
      <c r="L8" s="823"/>
      <c r="P8" s="1259"/>
      <c r="Q8" s="1259"/>
      <c r="R8" s="222"/>
      <c r="S8" s="74"/>
      <c r="T8" s="179"/>
      <c r="U8" s="179"/>
      <c r="V8" s="1055"/>
      <c r="W8" s="1055"/>
      <c r="X8" s="1057" t="str">
        <f>Y7&amp;"-"&amp;AA7</f>
        <v>-</v>
      </c>
      <c r="Y8" s="1342"/>
      <c r="Z8" s="1133"/>
      <c r="AA8" s="1342"/>
      <c r="AB8" s="1133"/>
      <c r="AC8" s="1055"/>
      <c r="AD8" s="1055"/>
      <c r="AE8" s="1057" t="str">
        <f>AF7&amp;"-"&amp;AH7</f>
        <v>-</v>
      </c>
      <c r="AF8" s="1342"/>
      <c r="AG8" s="1133"/>
      <c r="AH8" s="1344"/>
      <c r="AI8" s="1133"/>
      <c r="AJ8" s="1083"/>
      <c r="AK8" s="1435"/>
      <c r="AM8" s="79"/>
      <c r="AN8" s="79" t="str">
        <f t="shared" si="0"/>
        <v/>
      </c>
      <c r="AO8" s="79"/>
      <c r="AP8" s="79"/>
    </row>
    <row r="9" spans="1:42" ht="21" hidden="1" customHeight="1">
      <c r="A9" s="822"/>
      <c r="B9" s="822"/>
      <c r="C9" s="822"/>
      <c r="D9" s="822"/>
      <c r="E9" s="1338"/>
      <c r="F9" s="1338"/>
      <c r="G9" s="1338"/>
      <c r="H9" s="1338"/>
      <c r="I9" s="1340"/>
      <c r="J9" s="1339"/>
      <c r="K9" s="822"/>
      <c r="L9" s="823"/>
      <c r="P9" s="1259"/>
      <c r="Q9" s="1259"/>
      <c r="R9" s="221"/>
      <c r="S9" s="796"/>
      <c r="T9" s="174" t="s">
        <v>1686</v>
      </c>
      <c r="U9" s="228"/>
      <c r="V9" s="228"/>
      <c r="W9" s="228"/>
      <c r="X9" s="228"/>
      <c r="Y9" s="228"/>
      <c r="Z9" s="228"/>
      <c r="AA9" s="228"/>
      <c r="AB9" s="228"/>
      <c r="AC9" s="228"/>
      <c r="AD9" s="228"/>
      <c r="AE9" s="228"/>
      <c r="AF9" s="228"/>
      <c r="AG9" s="228"/>
      <c r="AH9" s="228"/>
      <c r="AI9" s="228"/>
      <c r="AJ9" s="228"/>
      <c r="AK9" s="782" t="s">
        <v>1687</v>
      </c>
      <c r="AM9" s="79"/>
      <c r="AN9" s="79" t="str">
        <f t="shared" si="0"/>
        <v>Добавить значение признака дифференциации</v>
      </c>
      <c r="AO9" s="79"/>
      <c r="AP9" s="79"/>
    </row>
    <row r="10" spans="1:42" ht="21" hidden="1" customHeight="1">
      <c r="A10" s="822"/>
      <c r="B10" s="822"/>
      <c r="C10" s="822"/>
      <c r="D10" s="822"/>
      <c r="E10" s="1338"/>
      <c r="F10" s="1338"/>
      <c r="G10" s="1338"/>
      <c r="H10" s="1338"/>
      <c r="I10" s="1339"/>
      <c r="J10" s="822"/>
      <c r="K10" s="822"/>
      <c r="L10" s="823"/>
      <c r="P10" s="1259"/>
      <c r="Q10" s="127"/>
      <c r="R10" s="221"/>
      <c r="S10" s="796"/>
      <c r="T10" s="226" t="s">
        <v>1477</v>
      </c>
      <c r="U10" s="228"/>
      <c r="V10" s="228"/>
      <c r="W10" s="228"/>
      <c r="X10" s="228"/>
      <c r="Y10" s="228"/>
      <c r="Z10" s="228"/>
      <c r="AA10" s="228"/>
      <c r="AB10" s="205"/>
      <c r="AC10" s="228"/>
      <c r="AD10" s="228"/>
      <c r="AE10" s="228"/>
      <c r="AF10" s="228"/>
      <c r="AG10" s="228"/>
      <c r="AH10" s="228"/>
      <c r="AI10" s="205"/>
      <c r="AJ10" s="228"/>
      <c r="AK10" s="854"/>
      <c r="AM10" s="79"/>
      <c r="AN10" s="79" t="str">
        <f t="shared" si="0"/>
        <v>Добавить группу потребителей</v>
      </c>
      <c r="AO10" s="79"/>
      <c r="AP10" s="79"/>
    </row>
    <row r="11" spans="1:42" ht="21" hidden="1" customHeight="1">
      <c r="A11" s="822"/>
      <c r="B11" s="822"/>
      <c r="C11" s="822"/>
      <c r="D11" s="822"/>
      <c r="E11" s="1338"/>
      <c r="F11" s="1338"/>
      <c r="G11" s="1338"/>
      <c r="H11" s="1337"/>
      <c r="I11" s="822"/>
      <c r="J11" s="822"/>
      <c r="K11" s="822"/>
      <c r="L11" s="823"/>
      <c r="M11" s="452"/>
      <c r="N11" s="452"/>
      <c r="O11" s="72"/>
      <c r="P11" s="43"/>
      <c r="Q11" s="231"/>
      <c r="R11" s="220"/>
      <c r="S11" s="796"/>
      <c r="T11" s="113" t="s">
        <v>1688</v>
      </c>
      <c r="U11" s="228"/>
      <c r="V11" s="228"/>
      <c r="W11" s="228"/>
      <c r="X11" s="228"/>
      <c r="Y11" s="228"/>
      <c r="Z11" s="228"/>
      <c r="AA11" s="228"/>
      <c r="AB11" s="205"/>
      <c r="AC11" s="228"/>
      <c r="AD11" s="228"/>
      <c r="AE11" s="228"/>
      <c r="AF11" s="228"/>
      <c r="AG11" s="228"/>
      <c r="AH11" s="228"/>
      <c r="AI11" s="205"/>
      <c r="AJ11" s="228"/>
      <c r="AK11" s="182"/>
      <c r="AM11" s="79"/>
      <c r="AN11" s="79" t="str">
        <f t="shared" si="0"/>
        <v>Добавить наименование признака дифференциации</v>
      </c>
      <c r="AO11" s="79"/>
      <c r="AP11" s="79"/>
    </row>
    <row r="12" spans="1:42" s="77" customFormat="1" ht="0.75" hidden="1" customHeight="1">
      <c r="A12" s="150"/>
      <c r="B12" s="150"/>
      <c r="C12" s="150"/>
      <c r="D12" s="150"/>
      <c r="E12" s="1338"/>
      <c r="F12" s="1337"/>
      <c r="G12" s="150"/>
      <c r="H12" s="150"/>
      <c r="I12" s="150"/>
      <c r="J12" s="150"/>
      <c r="K12" s="150"/>
      <c r="L12" s="373"/>
      <c r="M12" s="815"/>
      <c r="N12" s="815"/>
      <c r="P12" s="111"/>
      <c r="Q12" s="811"/>
      <c r="R12" s="111"/>
      <c r="S12" s="816"/>
      <c r="T12" s="818" t="s">
        <v>1438</v>
      </c>
      <c r="U12" s="338"/>
      <c r="V12" s="338"/>
      <c r="W12" s="338"/>
      <c r="X12" s="338"/>
      <c r="Y12" s="338"/>
      <c r="Z12" s="338"/>
      <c r="AA12" s="338"/>
      <c r="AB12" s="338"/>
      <c r="AC12" s="338"/>
      <c r="AD12" s="338"/>
      <c r="AE12" s="338"/>
      <c r="AF12" s="338"/>
      <c r="AG12" s="338"/>
      <c r="AH12" s="338"/>
      <c r="AI12" s="338"/>
      <c r="AJ12" s="338"/>
      <c r="AK12" s="338"/>
      <c r="AM12" s="79"/>
      <c r="AN12" s="79" t="str">
        <f t="shared" si="0"/>
        <v>Добавить централизованную систему для дифференциации</v>
      </c>
      <c r="AO12" s="79"/>
      <c r="AP12" s="79"/>
    </row>
    <row r="13" spans="1:42" s="77" customFormat="1" ht="0.75" hidden="1" customHeight="1">
      <c r="A13" s="150"/>
      <c r="B13" s="150"/>
      <c r="C13" s="150"/>
      <c r="D13" s="150"/>
      <c r="E13" s="1337"/>
      <c r="F13" s="150"/>
      <c r="G13" s="150"/>
      <c r="H13" s="150"/>
      <c r="I13" s="150"/>
      <c r="J13" s="150"/>
      <c r="K13" s="150"/>
      <c r="L13" s="373"/>
      <c r="M13" s="815"/>
      <c r="N13" s="815"/>
      <c r="P13" s="111"/>
      <c r="Q13" s="811"/>
      <c r="R13" s="111"/>
      <c r="S13" s="816"/>
      <c r="T13" s="818" t="s">
        <v>1439</v>
      </c>
      <c r="U13" s="338"/>
      <c r="V13" s="338"/>
      <c r="W13" s="338"/>
      <c r="X13" s="338"/>
      <c r="Y13" s="338"/>
      <c r="Z13" s="338"/>
      <c r="AA13" s="338"/>
      <c r="AB13" s="338"/>
      <c r="AC13" s="338"/>
      <c r="AD13" s="338"/>
      <c r="AE13" s="338"/>
      <c r="AF13" s="338"/>
      <c r="AG13" s="338"/>
      <c r="AH13" s="338"/>
      <c r="AI13" s="338"/>
      <c r="AJ13" s="338"/>
      <c r="AK13" s="338"/>
      <c r="AM13" s="79"/>
      <c r="AN13" s="79" t="str">
        <f t="shared" si="0"/>
        <v>Добавить территорию для дифференциации</v>
      </c>
      <c r="AO13" s="79"/>
      <c r="AP13" s="79"/>
    </row>
    <row r="14" spans="1:42" ht="14.25" hidden="1" customHeight="1"/>
    <row r="15" spans="1:42" ht="14.25" hidden="1" customHeight="1">
      <c r="AC15" s="1058"/>
      <c r="AD15" s="1058"/>
      <c r="AE15" s="1059"/>
      <c r="AF15" s="1335"/>
      <c r="AG15" s="1334" t="s">
        <v>67</v>
      </c>
      <c r="AH15" s="1335"/>
      <c r="AI15" s="1334" t="s">
        <v>67</v>
      </c>
    </row>
    <row r="16" spans="1:42" ht="14.25" hidden="1" customHeight="1">
      <c r="AC16" s="1058"/>
      <c r="AD16" s="1058"/>
      <c r="AE16" s="1057" t="str">
        <f>AF15&amp;"-"&amp;AH15</f>
        <v>-</v>
      </c>
      <c r="AF16" s="1334"/>
      <c r="AG16" s="1334"/>
      <c r="AH16" s="1334"/>
      <c r="AI16" s="1334"/>
    </row>
    <row r="17" spans="1:42" ht="14.25" hidden="1" customHeight="1"/>
    <row r="18" spans="1:42" s="72" customFormat="1" ht="14.25" hidden="1" customHeight="1">
      <c r="L18" s="388"/>
      <c r="M18" s="541"/>
      <c r="N18" s="541"/>
      <c r="O18" s="824" t="s">
        <v>1479</v>
      </c>
      <c r="P18" s="541"/>
      <c r="Q18" s="825"/>
      <c r="R18" s="825"/>
      <c r="S18" s="452"/>
      <c r="Y18" s="824"/>
      <c r="AA18" s="824"/>
      <c r="AF18" s="824"/>
      <c r="AH18" s="824"/>
      <c r="AL18" s="77"/>
      <c r="AM18" s="77"/>
      <c r="AN18" s="77"/>
      <c r="AO18" s="77"/>
      <c r="AP18" s="77"/>
    </row>
    <row r="19" spans="1:42" s="72" customFormat="1" ht="14.25" hidden="1" customHeight="1">
      <c r="L19" s="388"/>
      <c r="M19" s="541"/>
      <c r="N19" s="541"/>
      <c r="O19" s="541"/>
      <c r="P19" s="541"/>
      <c r="Q19" s="825"/>
      <c r="R19" s="825"/>
      <c r="S19" s="452"/>
      <c r="AL19" s="77"/>
      <c r="AM19" s="77"/>
      <c r="AN19" s="77"/>
      <c r="AO19" s="77"/>
      <c r="AP19" s="77"/>
    </row>
    <row r="20" spans="1:42" s="72" customFormat="1" ht="12" hidden="1" customHeight="1">
      <c r="L20" s="388"/>
      <c r="M20" s="541"/>
      <c r="N20" s="541"/>
      <c r="O20" s="823" t="s">
        <v>1480</v>
      </c>
      <c r="P20" s="541"/>
      <c r="Q20" s="855"/>
      <c r="R20" s="855"/>
      <c r="S20" s="452"/>
      <c r="T20" s="72" t="s">
        <v>1481</v>
      </c>
      <c r="Z20" s="91" t="s">
        <v>1482</v>
      </c>
      <c r="AB20" s="91" t="s">
        <v>1483</v>
      </c>
      <c r="AC20" s="72" t="s">
        <v>1481</v>
      </c>
      <c r="AG20" s="91" t="s">
        <v>1484</v>
      </c>
      <c r="AI20" s="91" t="s">
        <v>1483</v>
      </c>
    </row>
    <row r="21" spans="1:42" ht="14.25" hidden="1" customHeight="1">
      <c r="O21" s="823"/>
    </row>
    <row r="22" spans="1:42" ht="14.25" hidden="1" customHeight="1">
      <c r="O22" s="823"/>
    </row>
    <row r="23" spans="1:42" ht="14.25" customHeight="1">
      <c r="Q23" s="36"/>
      <c r="R23" s="36"/>
      <c r="S23" s="793"/>
      <c r="T23" s="25"/>
      <c r="U23" s="25"/>
    </row>
    <row r="24" spans="1:42" ht="32.25" customHeight="1">
      <c r="Q24" s="36"/>
      <c r="R24" s="36"/>
      <c r="S24" s="1181" t="str">
        <f>IF(TEMPLATE_GROUP="P",PT_P_FORM_VOTV_4_NAME_FORM,PT_R_FORM_VOTV_16_NAME_FORM)</f>
        <v>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v>
      </c>
      <c r="T24" s="1181"/>
      <c r="U24" s="1181"/>
      <c r="V24" s="1181"/>
      <c r="W24" s="1181"/>
      <c r="X24" s="1181"/>
      <c r="Y24" s="1181"/>
      <c r="Z24" s="1181"/>
      <c r="AA24" s="1181"/>
      <c r="AB24" s="1181"/>
      <c r="AC24" s="1181"/>
      <c r="AD24" s="1181"/>
      <c r="AE24" s="1181"/>
      <c r="AF24" s="1181"/>
      <c r="AG24" s="1181"/>
      <c r="AH24" s="1181"/>
      <c r="AI24" s="69"/>
    </row>
    <row r="25" spans="1:42" ht="14.25" customHeight="1">
      <c r="Q25" s="36"/>
      <c r="R25" s="36"/>
      <c r="S25" s="1204" t="str">
        <f>IF(org=0,"Не определено",org)</f>
        <v>ООО "ТЕПЛО ПЛЮС"</v>
      </c>
      <c r="T25" s="1204"/>
      <c r="U25" s="1204"/>
      <c r="V25" s="1204"/>
      <c r="W25" s="1204"/>
      <c r="X25" s="1204"/>
      <c r="Y25" s="1204"/>
      <c r="Z25" s="1204"/>
      <c r="AA25" s="1204"/>
      <c r="AB25" s="1204"/>
      <c r="AC25" s="1204"/>
      <c r="AD25" s="1204"/>
      <c r="AE25" s="1204"/>
      <c r="AF25" s="1204"/>
      <c r="AG25" s="1204"/>
      <c r="AH25" s="1204"/>
      <c r="AI25" s="69"/>
    </row>
    <row r="26" spans="1:42" ht="14.25" hidden="1" customHeight="1">
      <c r="Q26" s="36"/>
      <c r="R26" s="36"/>
      <c r="S26" s="793"/>
      <c r="T26" s="25"/>
      <c r="U26" s="25"/>
      <c r="V26" s="202"/>
      <c r="W26" s="202"/>
      <c r="X26" s="202"/>
      <c r="Y26" s="202"/>
      <c r="Z26" s="202"/>
      <c r="AA26" s="202"/>
      <c r="AB26" s="202"/>
      <c r="AC26" s="202"/>
      <c r="AD26" s="202"/>
      <c r="AE26" s="202"/>
      <c r="AF26" s="202"/>
      <c r="AG26" s="202"/>
      <c r="AH26" s="202"/>
      <c r="AI26" s="202"/>
    </row>
    <row r="27" spans="1:42" s="44" customFormat="1" ht="25.5" hidden="1" customHeight="1">
      <c r="A27" s="91"/>
      <c r="B27" s="91"/>
      <c r="C27" s="91"/>
      <c r="D27" s="91"/>
      <c r="E27" s="91"/>
      <c r="F27" s="91"/>
      <c r="G27" s="91"/>
      <c r="H27" s="91"/>
      <c r="I27" s="91"/>
      <c r="J27" s="91"/>
      <c r="K27" s="91"/>
      <c r="L27" s="823"/>
      <c r="M27" s="91"/>
      <c r="N27" s="91"/>
      <c r="O27" s="91"/>
      <c r="S27" s="1329" t="s">
        <v>39</v>
      </c>
      <c r="T27" s="1329"/>
      <c r="U27" s="826"/>
      <c r="V27" s="1330" t="str">
        <f>IF(TITLE_NAME_OR_PR_CHANGE="",IF(TITLE_NAME_OR_PR="","",TITLE_NAME_OR_PR),TITLE_NAME_OR_PR_CHANGE)</f>
        <v/>
      </c>
      <c r="W27" s="1330"/>
      <c r="X27" s="1330"/>
      <c r="Y27" s="1330"/>
      <c r="Z27" s="1330"/>
      <c r="AA27" s="1330"/>
      <c r="AB27" s="24"/>
      <c r="AC27" s="1330" t="str">
        <f>IF(TITLE_NAME_OR_PR_CHANGE="",IF(TITLE_NAME_OR_PR="","",TITLE_NAME_OR_PR),TITLE_NAME_OR_PR_CHANGE)</f>
        <v/>
      </c>
      <c r="AD27" s="1330"/>
      <c r="AE27" s="1330"/>
      <c r="AF27" s="1330"/>
      <c r="AG27" s="1330"/>
      <c r="AH27" s="1330"/>
      <c r="AI27" s="24"/>
      <c r="AJ27" s="24"/>
      <c r="AK27" s="171"/>
      <c r="AL27" s="79"/>
      <c r="AM27" s="79"/>
      <c r="AN27" s="79"/>
      <c r="AO27" s="79"/>
      <c r="AP27" s="79"/>
    </row>
    <row r="28" spans="1:42" s="44" customFormat="1" ht="18.75" hidden="1" customHeight="1">
      <c r="A28" s="91"/>
      <c r="B28" s="91"/>
      <c r="C28" s="91"/>
      <c r="D28" s="91"/>
      <c r="E28" s="91"/>
      <c r="F28" s="91"/>
      <c r="G28" s="91"/>
      <c r="H28" s="91"/>
      <c r="I28" s="91"/>
      <c r="J28" s="91"/>
      <c r="K28" s="91"/>
      <c r="L28" s="823"/>
      <c r="M28" s="91"/>
      <c r="N28" s="91"/>
      <c r="O28" s="91"/>
      <c r="S28" s="1329" t="s">
        <v>1485</v>
      </c>
      <c r="T28" s="1329"/>
      <c r="U28" s="826"/>
      <c r="V28" s="1330" t="str">
        <f>IF(TITLE_DATE_CHANGE_PERIOD="",IF(TITLE_DATE_PR="","",TITLE_DATE_PR),TITLE_DATE_CHANGE_PERIOD)</f>
        <v/>
      </c>
      <c r="W28" s="1330"/>
      <c r="X28" s="1330"/>
      <c r="Y28" s="1330"/>
      <c r="Z28" s="1330"/>
      <c r="AA28" s="1330"/>
      <c r="AB28" s="24"/>
      <c r="AC28" s="1330" t="str">
        <f>IF(TITLE_DATE_CHANGE_PERIOD="",IF(TITLE_DATE_PR="","",TITLE_DATE_PR),TITLE_DATE_CHANGE_PERIOD)</f>
        <v/>
      </c>
      <c r="AD28" s="1330"/>
      <c r="AE28" s="1330"/>
      <c r="AF28" s="1330"/>
      <c r="AG28" s="1330"/>
      <c r="AH28" s="1330"/>
      <c r="AI28" s="24"/>
      <c r="AJ28" s="24"/>
      <c r="AK28" s="171"/>
      <c r="AL28" s="79"/>
      <c r="AM28" s="79"/>
      <c r="AN28" s="79"/>
      <c r="AO28" s="79"/>
      <c r="AP28" s="79"/>
    </row>
    <row r="29" spans="1:42" s="44" customFormat="1" ht="18.75" hidden="1" customHeight="1">
      <c r="A29" s="91"/>
      <c r="B29" s="91"/>
      <c r="C29" s="91"/>
      <c r="D29" s="91"/>
      <c r="E29" s="91"/>
      <c r="F29" s="91"/>
      <c r="G29" s="91"/>
      <c r="H29" s="91"/>
      <c r="I29" s="91"/>
      <c r="J29" s="91"/>
      <c r="K29" s="91"/>
      <c r="L29" s="823"/>
      <c r="M29" s="91"/>
      <c r="N29" s="91"/>
      <c r="O29" s="91"/>
      <c r="S29" s="1329" t="s">
        <v>1486</v>
      </c>
      <c r="T29" s="1329"/>
      <c r="U29" s="826"/>
      <c r="V29" s="1330" t="str">
        <f>IF(TITLE_NUMBER_PR_CHANGE="",IF(TITLE_NUMBER_PR="","",TITLE_NUMBER_PR),TITLE_NUMBER_PR_CHANGE)</f>
        <v/>
      </c>
      <c r="W29" s="1330"/>
      <c r="X29" s="1330"/>
      <c r="Y29" s="1330"/>
      <c r="Z29" s="1330"/>
      <c r="AA29" s="1330"/>
      <c r="AB29" s="24"/>
      <c r="AC29" s="1330" t="str">
        <f>IF(TITLE_NUMBER_PR_CHANGE="",IF(TITLE_NUMBER_PR="","",TITLE_NUMBER_PR),TITLE_NUMBER_PR_CHANGE)</f>
        <v/>
      </c>
      <c r="AD29" s="1330"/>
      <c r="AE29" s="1330"/>
      <c r="AF29" s="1330"/>
      <c r="AG29" s="1330"/>
      <c r="AH29" s="1330"/>
      <c r="AI29" s="24"/>
      <c r="AJ29" s="24"/>
      <c r="AK29" s="171"/>
      <c r="AL29" s="79"/>
      <c r="AM29" s="79"/>
      <c r="AN29" s="79"/>
      <c r="AO29" s="79"/>
      <c r="AP29" s="79"/>
    </row>
    <row r="30" spans="1:42" s="44" customFormat="1" ht="18.75" hidden="1" customHeight="1">
      <c r="A30" s="91"/>
      <c r="B30" s="91"/>
      <c r="C30" s="91"/>
      <c r="D30" s="91"/>
      <c r="E30" s="91"/>
      <c r="F30" s="91"/>
      <c r="G30" s="91"/>
      <c r="H30" s="91"/>
      <c r="I30" s="91"/>
      <c r="J30" s="91"/>
      <c r="K30" s="91"/>
      <c r="L30" s="823"/>
      <c r="M30" s="91"/>
      <c r="N30" s="91"/>
      <c r="O30" s="91"/>
      <c r="S30" s="1329" t="s">
        <v>40</v>
      </c>
      <c r="T30" s="1329"/>
      <c r="U30" s="826"/>
      <c r="V30" s="1330" t="str">
        <f>IF(TITLE_IST_PUB_CHANGE="",IF(TITLE_IST_PUB="","",TITLE_IST_PUB),TITLE_IST_PUB_CHANGE)</f>
        <v/>
      </c>
      <c r="W30" s="1330"/>
      <c r="X30" s="1330"/>
      <c r="Y30" s="1330"/>
      <c r="Z30" s="1330"/>
      <c r="AA30" s="1330"/>
      <c r="AB30" s="24"/>
      <c r="AC30" s="1330" t="str">
        <f>IF(TITLE_IST_PUB_CHANGE="",IF(TITLE_IST_PUB="","",TITLE_IST_PUB),TITLE_IST_PUB_CHANGE)</f>
        <v/>
      </c>
      <c r="AD30" s="1330"/>
      <c r="AE30" s="1330"/>
      <c r="AF30" s="1330"/>
      <c r="AG30" s="1330"/>
      <c r="AH30" s="1330"/>
      <c r="AI30" s="24"/>
      <c r="AJ30" s="24"/>
      <c r="AK30" s="171"/>
      <c r="AL30" s="79"/>
      <c r="AM30" s="79"/>
      <c r="AN30" s="79"/>
      <c r="AO30" s="79"/>
      <c r="AP30" s="79"/>
    </row>
    <row r="31" spans="1:42" ht="14.25" hidden="1" customHeight="1">
      <c r="Q31" s="36"/>
      <c r="R31" s="36"/>
      <c r="S31" s="793"/>
      <c r="T31" s="25"/>
      <c r="U31" s="25"/>
      <c r="V31" s="202"/>
      <c r="W31" s="202"/>
      <c r="X31" s="202"/>
      <c r="Y31" s="202"/>
      <c r="Z31" s="202"/>
      <c r="AA31" s="202"/>
      <c r="AB31" s="202"/>
      <c r="AC31" s="202"/>
      <c r="AD31" s="202"/>
      <c r="AE31" s="202"/>
      <c r="AF31" s="202"/>
      <c r="AG31" s="202"/>
      <c r="AH31" s="202"/>
      <c r="AI31" s="202"/>
    </row>
    <row r="32" spans="1:42" s="44" customFormat="1" ht="18.75" hidden="1" customHeight="1">
      <c r="A32" s="91"/>
      <c r="B32" s="91"/>
      <c r="C32" s="91"/>
      <c r="D32" s="91"/>
      <c r="E32" s="91"/>
      <c r="F32" s="91"/>
      <c r="G32" s="91"/>
      <c r="H32" s="91"/>
      <c r="I32" s="91"/>
      <c r="J32" s="91"/>
      <c r="K32" s="91"/>
      <c r="L32" s="823"/>
      <c r="M32" s="91"/>
      <c r="N32" s="91"/>
      <c r="O32" s="91"/>
      <c r="S32" s="1329" t="s">
        <v>1487</v>
      </c>
      <c r="T32" s="1329"/>
      <c r="U32" s="826"/>
      <c r="V32" s="1330" t="str">
        <f>IF(TITLE_DATE_CHANGE_PERIOD="",IF(TITLE_DATE_PR="","",TITLE_DATE_PR),TITLE_DATE_CHANGE_PERIOD)</f>
        <v/>
      </c>
      <c r="W32" s="1330"/>
      <c r="X32" s="1330"/>
      <c r="Y32" s="1330"/>
      <c r="Z32" s="1330"/>
      <c r="AA32" s="1330"/>
      <c r="AB32" s="24"/>
      <c r="AC32" s="1330" t="str">
        <f>IF(TITLE_DATE_CHANGE_PERIOD="",IF(TITLE_DATE_PR="","",TITLE_DATE_PR),TITLE_DATE_CHANGE_PERIOD)</f>
        <v/>
      </c>
      <c r="AD32" s="1330"/>
      <c r="AE32" s="1330"/>
      <c r="AF32" s="1330"/>
      <c r="AG32" s="1330"/>
      <c r="AH32" s="1330"/>
      <c r="AI32" s="24"/>
      <c r="AJ32" s="24"/>
      <c r="AK32" s="171"/>
      <c r="AL32" s="79"/>
      <c r="AM32" s="79"/>
      <c r="AN32" s="79"/>
      <c r="AO32" s="79"/>
      <c r="AP32" s="79"/>
    </row>
    <row r="33" spans="1:42" s="44" customFormat="1" ht="18.75" hidden="1" customHeight="1">
      <c r="A33" s="91"/>
      <c r="B33" s="91"/>
      <c r="C33" s="91"/>
      <c r="D33" s="91"/>
      <c r="E33" s="91"/>
      <c r="F33" s="91"/>
      <c r="G33" s="91"/>
      <c r="H33" s="91"/>
      <c r="I33" s="91"/>
      <c r="J33" s="91"/>
      <c r="K33" s="91"/>
      <c r="L33" s="823"/>
      <c r="M33" s="91"/>
      <c r="N33" s="91"/>
      <c r="O33" s="91"/>
      <c r="S33" s="1329" t="s">
        <v>1488</v>
      </c>
      <c r="T33" s="1329"/>
      <c r="U33" s="826"/>
      <c r="V33" s="1330" t="str">
        <f>IF(TITLE_NUMBER_PR_CHANGE="",IF(TITLE_NUMBER_PR="","",TITLE_NUMBER_PR),TITLE_NUMBER_PR_CHANGE)</f>
        <v/>
      </c>
      <c r="W33" s="1330"/>
      <c r="X33" s="1330"/>
      <c r="Y33" s="1330"/>
      <c r="Z33" s="1330"/>
      <c r="AA33" s="1330"/>
      <c r="AB33" s="24"/>
      <c r="AC33" s="1330" t="str">
        <f>IF(TITLE_NUMBER_PR_CHANGE="",IF(TITLE_NUMBER_PR="","",TITLE_NUMBER_PR),TITLE_NUMBER_PR_CHANGE)</f>
        <v/>
      </c>
      <c r="AD33" s="1330"/>
      <c r="AE33" s="1330"/>
      <c r="AF33" s="1330"/>
      <c r="AG33" s="1330"/>
      <c r="AH33" s="1330"/>
      <c r="AI33" s="24"/>
      <c r="AJ33" s="24"/>
      <c r="AK33" s="171"/>
      <c r="AL33" s="79"/>
      <c r="AM33" s="79"/>
      <c r="AN33" s="79"/>
      <c r="AO33" s="79"/>
      <c r="AP33" s="79"/>
    </row>
    <row r="34" spans="1:42" s="44" customFormat="1" ht="0.75" customHeight="1">
      <c r="A34" s="91"/>
      <c r="B34" s="91"/>
      <c r="C34" s="91"/>
      <c r="D34" s="91"/>
      <c r="E34" s="91"/>
      <c r="F34" s="91"/>
      <c r="G34" s="91"/>
      <c r="H34" s="91"/>
      <c r="I34" s="91"/>
      <c r="J34" s="91"/>
      <c r="K34" s="91"/>
      <c r="L34" s="823"/>
      <c r="M34" s="91"/>
      <c r="N34" s="91"/>
      <c r="O34" s="91"/>
      <c r="S34" s="24"/>
      <c r="T34" s="24"/>
      <c r="U34" s="87"/>
      <c r="V34" s="24"/>
      <c r="W34" s="24"/>
      <c r="X34" s="24"/>
      <c r="Y34" s="24"/>
      <c r="Z34" s="24"/>
      <c r="AA34" s="24"/>
      <c r="AB34" s="77" t="s">
        <v>1489</v>
      </c>
      <c r="AC34" s="24"/>
      <c r="AD34" s="24"/>
      <c r="AE34" s="24"/>
      <c r="AF34" s="24"/>
      <c r="AG34" s="24"/>
      <c r="AH34" s="24"/>
      <c r="AI34" s="77" t="s">
        <v>1489</v>
      </c>
      <c r="AL34" s="79"/>
      <c r="AM34" s="79"/>
      <c r="AN34" s="79"/>
      <c r="AO34" s="79"/>
      <c r="AP34" s="79"/>
    </row>
    <row r="35" spans="1:42" ht="14.25" customHeight="1">
      <c r="Q35" s="36"/>
      <c r="R35" s="36"/>
      <c r="S35" s="793"/>
      <c r="T35" s="25"/>
      <c r="U35" s="766"/>
      <c r="V35" s="1348"/>
      <c r="W35" s="1348"/>
      <c r="X35" s="1348"/>
      <c r="Y35" s="1348"/>
      <c r="Z35" s="1348"/>
      <c r="AA35" s="1348"/>
      <c r="AB35" s="1348"/>
      <c r="AC35" s="1348"/>
      <c r="AD35" s="1348"/>
      <c r="AE35" s="1348"/>
      <c r="AF35" s="1348"/>
      <c r="AG35" s="1348"/>
      <c r="AH35" s="1348"/>
      <c r="AI35" s="1348"/>
    </row>
    <row r="36" spans="1:42" ht="14.25" customHeight="1">
      <c r="Q36" s="36"/>
      <c r="R36" s="36"/>
      <c r="S36" s="1123" t="s">
        <v>292</v>
      </c>
      <c r="T36" s="1123"/>
      <c r="U36" s="1123"/>
      <c r="V36" s="1123"/>
      <c r="W36" s="1123"/>
      <c r="X36" s="1123"/>
      <c r="Y36" s="1123"/>
      <c r="Z36" s="1123"/>
      <c r="AA36" s="1123"/>
      <c r="AB36" s="1123"/>
      <c r="AC36" s="1123"/>
      <c r="AD36" s="1123"/>
      <c r="AE36" s="1123"/>
      <c r="AF36" s="1123"/>
      <c r="AG36" s="1123"/>
      <c r="AH36" s="1123"/>
      <c r="AI36" s="1123"/>
      <c r="AJ36" s="1123"/>
      <c r="AK36" s="1123" t="s">
        <v>293</v>
      </c>
    </row>
    <row r="37" spans="1:42" ht="14.25" customHeight="1">
      <c r="Q37" s="36"/>
      <c r="R37" s="36"/>
      <c r="S37" s="1349" t="s">
        <v>88</v>
      </c>
      <c r="T37" s="1213" t="s">
        <v>1490</v>
      </c>
      <c r="U37" s="180"/>
      <c r="V37" s="1350" t="s">
        <v>1491</v>
      </c>
      <c r="W37" s="1351"/>
      <c r="X37" s="1351"/>
      <c r="Y37" s="1351"/>
      <c r="Z37" s="1351"/>
      <c r="AA37" s="1352"/>
      <c r="AB37" s="1353" t="s">
        <v>1492</v>
      </c>
      <c r="AC37" s="1350" t="s">
        <v>1491</v>
      </c>
      <c r="AD37" s="1351"/>
      <c r="AE37" s="1351"/>
      <c r="AF37" s="1351"/>
      <c r="AG37" s="1351"/>
      <c r="AH37" s="1352"/>
      <c r="AI37" s="1353" t="s">
        <v>1493</v>
      </c>
      <c r="AJ37" s="1356" t="s">
        <v>1494</v>
      </c>
      <c r="AK37" s="1123"/>
    </row>
    <row r="38" spans="1:42" ht="33.75" customHeight="1">
      <c r="Q38" s="36"/>
      <c r="R38" s="36"/>
      <c r="S38" s="1349"/>
      <c r="T38" s="1213"/>
      <c r="U38" s="647"/>
      <c r="V38" s="366" t="s">
        <v>1689</v>
      </c>
      <c r="W38" s="1105" t="s">
        <v>1497</v>
      </c>
      <c r="X38" s="1104"/>
      <c r="Y38" s="1105" t="s">
        <v>1498</v>
      </c>
      <c r="Z38" s="1110"/>
      <c r="AA38" s="1104"/>
      <c r="AB38" s="1354"/>
      <c r="AC38" s="366" t="s">
        <v>1689</v>
      </c>
      <c r="AD38" s="1105" t="s">
        <v>1497</v>
      </c>
      <c r="AE38" s="1104"/>
      <c r="AF38" s="1105" t="s">
        <v>1498</v>
      </c>
      <c r="AG38" s="1110"/>
      <c r="AH38" s="1104"/>
      <c r="AI38" s="1354"/>
      <c r="AJ38" s="1357"/>
      <c r="AK38" s="1123"/>
    </row>
    <row r="39" spans="1:42" ht="86.25" customHeight="1">
      <c r="A39" s="91"/>
      <c r="B39" s="91" t="s">
        <v>136</v>
      </c>
      <c r="C39" s="91" t="s">
        <v>137</v>
      </c>
      <c r="D39" s="91" t="s">
        <v>138</v>
      </c>
      <c r="E39" s="823" t="s">
        <v>1499</v>
      </c>
      <c r="F39" s="823" t="s">
        <v>1500</v>
      </c>
      <c r="G39" s="823" t="s">
        <v>1501</v>
      </c>
      <c r="H39" s="823"/>
      <c r="I39" s="823" t="s">
        <v>1690</v>
      </c>
      <c r="J39" s="823" t="s">
        <v>1504</v>
      </c>
      <c r="K39" s="823" t="s">
        <v>1691</v>
      </c>
      <c r="L39" s="823" t="s">
        <v>1480</v>
      </c>
      <c r="Q39" s="36"/>
      <c r="R39" s="36"/>
      <c r="S39" s="1349"/>
      <c r="T39" s="1213"/>
      <c r="U39" s="181"/>
      <c r="V39" s="366" t="s">
        <v>2103</v>
      </c>
      <c r="W39" s="48" t="s">
        <v>2104</v>
      </c>
      <c r="X39" s="48" t="s">
        <v>1694</v>
      </c>
      <c r="Y39" s="48" t="s">
        <v>1508</v>
      </c>
      <c r="Z39" s="1219" t="s">
        <v>1509</v>
      </c>
      <c r="AA39" s="1233"/>
      <c r="AB39" s="1355"/>
      <c r="AC39" s="366" t="s">
        <v>2103</v>
      </c>
      <c r="AD39" s="48" t="s">
        <v>2104</v>
      </c>
      <c r="AE39" s="48" t="s">
        <v>1694</v>
      </c>
      <c r="AF39" s="48" t="s">
        <v>1508</v>
      </c>
      <c r="AG39" s="1219" t="s">
        <v>1509</v>
      </c>
      <c r="AH39" s="1233"/>
      <c r="AI39" s="1355"/>
      <c r="AJ39" s="1358"/>
      <c r="AK39" s="1123"/>
    </row>
    <row r="40" spans="1:42" s="216" customFormat="1" ht="11.25" hidden="1" customHeight="1">
      <c r="A40" s="91"/>
      <c r="B40" s="91"/>
      <c r="C40" s="91"/>
      <c r="D40" s="91"/>
      <c r="E40" s="91"/>
      <c r="F40" s="91"/>
      <c r="G40" s="91"/>
      <c r="H40" s="91"/>
      <c r="I40" s="91"/>
      <c r="J40" s="91"/>
      <c r="K40" s="91"/>
      <c r="L40" s="823"/>
      <c r="M40" s="541"/>
      <c r="N40" s="541"/>
      <c r="O40" s="541"/>
      <c r="P40" s="768"/>
      <c r="Q40" s="769"/>
      <c r="R40" s="777">
        <v>1</v>
      </c>
      <c r="S40" s="795" t="s">
        <v>109</v>
      </c>
      <c r="T40" s="778" t="s">
        <v>110</v>
      </c>
      <c r="U40" s="767" t="str">
        <f ca="1">OFFSET(U40,0,-1)</f>
        <v>2</v>
      </c>
      <c r="V40" s="779">
        <f ca="1">OFFSET(V40,0,-1)+1</f>
        <v>3</v>
      </c>
      <c r="W40" s="779">
        <f ca="1">OFFSET(W40,0,-1)+1</f>
        <v>4</v>
      </c>
      <c r="X40" s="779">
        <f ca="1">OFFSET(X40,0,-1)+1</f>
        <v>5</v>
      </c>
      <c r="Y40" s="779">
        <f ca="1">OFFSET(Y40,0,-1)+1</f>
        <v>6</v>
      </c>
      <c r="Z40" s="1347">
        <f ca="1">OFFSET(Z40,0,-1)+1</f>
        <v>7</v>
      </c>
      <c r="AA40" s="1347"/>
      <c r="AB40" s="779">
        <f ca="1">OFFSET(AB40,0,-2)+1</f>
        <v>8</v>
      </c>
      <c r="AC40" s="779">
        <f ca="1">OFFSET(AC40,0,-1)+1</f>
        <v>9</v>
      </c>
      <c r="AD40" s="779">
        <f ca="1">OFFSET(AD40,0,-1)+1</f>
        <v>10</v>
      </c>
      <c r="AE40" s="779">
        <f ca="1">OFFSET(AE40,0,-1)+1</f>
        <v>11</v>
      </c>
      <c r="AF40" s="779">
        <f ca="1">OFFSET(AF40,0,-1)+1</f>
        <v>12</v>
      </c>
      <c r="AG40" s="1347">
        <f ca="1">OFFSET(AG40,0,-1)+1</f>
        <v>13</v>
      </c>
      <c r="AH40" s="1347"/>
      <c r="AI40" s="779">
        <f ca="1">OFFSET(AI40,0,-2)+1</f>
        <v>14</v>
      </c>
      <c r="AJ40" s="767">
        <f ca="1">OFFSET(AJ40,0,-1)</f>
        <v>14</v>
      </c>
      <c r="AK40" s="779">
        <f ca="1">OFFSET(AK40,0,-1)+1</f>
        <v>15</v>
      </c>
      <c r="AL40" s="77"/>
      <c r="AM40" s="77"/>
      <c r="AN40" s="77"/>
      <c r="AO40" s="77"/>
      <c r="AP40" s="77"/>
    </row>
    <row r="41" spans="1:42" ht="23.25" customHeight="1">
      <c r="A41" s="822" t="s">
        <v>263</v>
      </c>
      <c r="B41" s="822"/>
      <c r="C41" s="822"/>
      <c r="D41" s="822"/>
      <c r="E41" s="1337">
        <v>1</v>
      </c>
      <c r="F41" s="822"/>
      <c r="G41" s="822"/>
      <c r="H41" s="822"/>
      <c r="I41" s="822"/>
      <c r="J41" s="822"/>
      <c r="K41" s="822"/>
      <c r="L41" s="823"/>
      <c r="M41" s="452"/>
      <c r="N41" s="452"/>
      <c r="O41" s="452"/>
      <c r="Q41" s="43"/>
      <c r="R41" s="220"/>
      <c r="S41" s="755">
        <f>INDEX(PT_DIFFERENTIATION_NUM_NTAR,MATCH(A41,PT_DIFFERENTIATION_NTAR_ID,0))</f>
        <v>0</v>
      </c>
      <c r="T41" s="76" t="s">
        <v>124</v>
      </c>
      <c r="U41" s="179"/>
      <c r="V41" s="1331"/>
      <c r="W41" s="1332"/>
      <c r="X41" s="1332"/>
      <c r="Y41" s="1332"/>
      <c r="Z41" s="1332"/>
      <c r="AA41" s="1332"/>
      <c r="AB41" s="1333"/>
      <c r="AC41" s="1331" t="str">
        <f>INDEX(PT_DIFFERENTIATION_NTAR,MATCH(A41,PT_DIFFERENTIATION_NTAR_ID,0))</f>
        <v/>
      </c>
      <c r="AD41" s="1332"/>
      <c r="AE41" s="1332"/>
      <c r="AF41" s="1332"/>
      <c r="AG41" s="1332"/>
      <c r="AH41" s="1332"/>
      <c r="AI41" s="1332"/>
      <c r="AJ41" s="1333"/>
      <c r="AK41" s="7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9"/>
      <c r="AN41" s="79" t="str">
        <f t="shared" ref="AN41:AN53" si="1">IF(T41="","",T41)</f>
        <v>Наименование тарифа</v>
      </c>
      <c r="AO41" s="79"/>
      <c r="AP41" s="79"/>
    </row>
    <row r="42" spans="1:42" ht="23.25" customHeight="1">
      <c r="A42" s="822" t="s">
        <v>263</v>
      </c>
      <c r="B42" s="822" t="s">
        <v>264</v>
      </c>
      <c r="C42" s="822"/>
      <c r="D42" s="822"/>
      <c r="E42" s="1338"/>
      <c r="F42" s="1337">
        <v>1</v>
      </c>
      <c r="G42" s="822"/>
      <c r="H42" s="822"/>
      <c r="I42" s="822"/>
      <c r="J42" s="822"/>
      <c r="K42" s="822"/>
      <c r="L42" s="823"/>
      <c r="M42" s="452"/>
      <c r="N42" s="452"/>
      <c r="O42" s="452"/>
      <c r="P42" s="68"/>
      <c r="Q42" s="217"/>
      <c r="R42" s="218"/>
      <c r="S42" s="755" t="str">
        <f>INDEX(PT_DIFFERENTIATION_NUM_TER,MATCH(B42,PT_DIFFERENTIATION_TER_ID,0))</f>
        <v>.</v>
      </c>
      <c r="T42" s="187" t="s">
        <v>1462</v>
      </c>
      <c r="U42" s="179"/>
      <c r="V42" s="1331"/>
      <c r="W42" s="1332"/>
      <c r="X42" s="1332"/>
      <c r="Y42" s="1332"/>
      <c r="Z42" s="1332"/>
      <c r="AA42" s="1332"/>
      <c r="AB42" s="1333"/>
      <c r="AC42" s="1331" t="str">
        <f>INDEX(PT_DIFFERENTIATION_TER,MATCH(B42,PT_DIFFERENTIATION_TER_ID,0))</f>
        <v/>
      </c>
      <c r="AD42" s="1332"/>
      <c r="AE42" s="1332"/>
      <c r="AF42" s="1332"/>
      <c r="AG42" s="1332"/>
      <c r="AH42" s="1332"/>
      <c r="AI42" s="1332"/>
      <c r="AJ42" s="1333"/>
      <c r="AK42" s="782" t="s">
        <v>1463</v>
      </c>
      <c r="AM42" s="79"/>
      <c r="AN42" s="79" t="str">
        <f t="shared" si="1"/>
        <v>Территория действия тарифа</v>
      </c>
      <c r="AO42" s="79"/>
      <c r="AP42" s="79"/>
    </row>
    <row r="43" spans="1:42" ht="23.25" customHeight="1">
      <c r="A43" s="822" t="s">
        <v>263</v>
      </c>
      <c r="B43" s="822" t="s">
        <v>264</v>
      </c>
      <c r="C43" s="822" t="s">
        <v>265</v>
      </c>
      <c r="D43" s="822"/>
      <c r="E43" s="1338"/>
      <c r="F43" s="1338"/>
      <c r="G43" s="1337">
        <v>1</v>
      </c>
      <c r="H43" s="822"/>
      <c r="I43" s="822"/>
      <c r="J43" s="822"/>
      <c r="K43" s="822"/>
      <c r="L43" s="823"/>
      <c r="M43" s="452"/>
      <c r="N43" s="452"/>
      <c r="O43" s="452"/>
      <c r="P43" s="219"/>
      <c r="Q43" s="217"/>
      <c r="R43" s="218"/>
      <c r="S43" s="755" t="str">
        <f>INDEX(PT_DIFFERENTIATION_NUM_CS,MATCH(C43,PT_DIFFERENTIATION_CS_ID,0))</f>
        <v>..</v>
      </c>
      <c r="T43" s="188" t="s">
        <v>2101</v>
      </c>
      <c r="U43" s="179"/>
      <c r="V43" s="1331"/>
      <c r="W43" s="1332"/>
      <c r="X43" s="1332"/>
      <c r="Y43" s="1332"/>
      <c r="Z43" s="1332"/>
      <c r="AA43" s="1332"/>
      <c r="AB43" s="1333"/>
      <c r="AC43" s="1331" t="str">
        <f>INDEX(PT_DIFFERENTIATION_CS,MATCH(C43,PT_DIFFERENTIATION_CS_ID,0))</f>
        <v/>
      </c>
      <c r="AD43" s="1332"/>
      <c r="AE43" s="1332"/>
      <c r="AF43" s="1332"/>
      <c r="AG43" s="1332"/>
      <c r="AH43" s="1332"/>
      <c r="AI43" s="1332"/>
      <c r="AJ43" s="1333"/>
      <c r="AK43" s="782" t="s">
        <v>2102</v>
      </c>
      <c r="AM43" s="79"/>
      <c r="AN43" s="79" t="str">
        <f t="shared" si="1"/>
        <v>Наименование централизованной системы водоотведения</v>
      </c>
      <c r="AO43" s="79"/>
      <c r="AP43" s="79"/>
    </row>
    <row r="44" spans="1:42" ht="23.25" customHeight="1">
      <c r="A44" s="822" t="s">
        <v>263</v>
      </c>
      <c r="B44" s="822" t="s">
        <v>264</v>
      </c>
      <c r="C44" s="822" t="s">
        <v>265</v>
      </c>
      <c r="D44" s="822" t="s">
        <v>2108</v>
      </c>
      <c r="E44" s="1338"/>
      <c r="F44" s="1338"/>
      <c r="G44" s="1338"/>
      <c r="H44" s="1338"/>
      <c r="I44" s="1339" t="str">
        <f>S43&amp;".1"</f>
        <v>...1</v>
      </c>
      <c r="J44" s="822"/>
      <c r="K44" s="822"/>
      <c r="L44" s="823"/>
      <c r="P44" s="1259">
        <v>1</v>
      </c>
      <c r="Q44" s="127"/>
      <c r="R44" s="221"/>
      <c r="S44" s="755" t="str">
        <f>$I44</f>
        <v>...1</v>
      </c>
      <c r="T44" s="172" t="s">
        <v>1683</v>
      </c>
      <c r="U44" s="179"/>
      <c r="V44" s="1429"/>
      <c r="W44" s="1430"/>
      <c r="X44" s="1430"/>
      <c r="Y44" s="1430"/>
      <c r="Z44" s="1430"/>
      <c r="AA44" s="1430"/>
      <c r="AB44" s="1431"/>
      <c r="AC44" s="1432"/>
      <c r="AD44" s="1433"/>
      <c r="AE44" s="1433"/>
      <c r="AF44" s="1433"/>
      <c r="AG44" s="1433"/>
      <c r="AH44" s="1433"/>
      <c r="AI44" s="1433"/>
      <c r="AJ44" s="1434"/>
      <c r="AK44" s="782" t="s">
        <v>1684</v>
      </c>
      <c r="AM44" s="79"/>
      <c r="AN44" s="79" t="str">
        <f t="shared" si="1"/>
        <v>Наименование признака дифференциации</v>
      </c>
      <c r="AO44" s="79"/>
      <c r="AP44" s="79"/>
    </row>
    <row r="45" spans="1:42" ht="23.25" customHeight="1">
      <c r="A45" s="822" t="s">
        <v>263</v>
      </c>
      <c r="B45" s="822" t="s">
        <v>264</v>
      </c>
      <c r="C45" s="822" t="s">
        <v>265</v>
      </c>
      <c r="D45" s="822" t="s">
        <v>2108</v>
      </c>
      <c r="E45" s="1338"/>
      <c r="F45" s="1338"/>
      <c r="G45" s="1338"/>
      <c r="H45" s="1338"/>
      <c r="I45" s="1340"/>
      <c r="J45" s="1339" t="str">
        <f>I44&amp;".1"</f>
        <v>...1.1</v>
      </c>
      <c r="K45" s="822"/>
      <c r="L45" s="823" t="s">
        <v>1471</v>
      </c>
      <c r="P45" s="1259"/>
      <c r="Q45" s="1259">
        <v>1</v>
      </c>
      <c r="R45" s="222"/>
      <c r="S45" s="755" t="str">
        <f>$J45</f>
        <v>...1.1</v>
      </c>
      <c r="T45" s="173" t="s">
        <v>1472</v>
      </c>
      <c r="U45" s="179"/>
      <c r="V45" s="1326"/>
      <c r="W45" s="1327"/>
      <c r="X45" s="1327"/>
      <c r="Y45" s="1327"/>
      <c r="Z45" s="1327"/>
      <c r="AA45" s="1327"/>
      <c r="AB45" s="1328"/>
      <c r="AC45" s="1326"/>
      <c r="AD45" s="1327"/>
      <c r="AE45" s="1327"/>
      <c r="AF45" s="1327"/>
      <c r="AG45" s="1327"/>
      <c r="AH45" s="1327"/>
      <c r="AI45" s="1327"/>
      <c r="AJ45" s="1328"/>
      <c r="AK45" s="809" t="s">
        <v>1685</v>
      </c>
      <c r="AM45" s="79"/>
      <c r="AN45" s="79" t="str">
        <f t="shared" si="1"/>
        <v>Группа потребителей</v>
      </c>
      <c r="AO45" s="79"/>
      <c r="AP45" s="79"/>
    </row>
    <row r="46" spans="1:42" ht="23.25" customHeight="1">
      <c r="A46" s="822" t="s">
        <v>263</v>
      </c>
      <c r="B46" s="822" t="s">
        <v>264</v>
      </c>
      <c r="C46" s="822" t="s">
        <v>265</v>
      </c>
      <c r="D46" s="822" t="s">
        <v>2108</v>
      </c>
      <c r="E46" s="1338"/>
      <c r="F46" s="1338"/>
      <c r="G46" s="1338"/>
      <c r="H46" s="1338"/>
      <c r="I46" s="1340"/>
      <c r="J46" s="1340"/>
      <c r="K46" s="1339" t="str">
        <f>J45&amp;".1"</f>
        <v>...1.1.1</v>
      </c>
      <c r="L46" s="823"/>
      <c r="P46" s="1259"/>
      <c r="Q46" s="1259"/>
      <c r="R46" s="222">
        <v>1</v>
      </c>
      <c r="S46" s="755" t="str">
        <f>$K46</f>
        <v>...1.1.1</v>
      </c>
      <c r="T46" s="853"/>
      <c r="U46" s="179"/>
      <c r="V46" s="1058"/>
      <c r="W46" s="1058"/>
      <c r="X46" s="1059"/>
      <c r="Y46" s="1335"/>
      <c r="Z46" s="1334" t="s">
        <v>67</v>
      </c>
      <c r="AA46" s="1335"/>
      <c r="AB46" s="1334" t="s">
        <v>67</v>
      </c>
      <c r="AC46" s="1054"/>
      <c r="AD46" s="1054"/>
      <c r="AE46" s="1056"/>
      <c r="AF46" s="1341"/>
      <c r="AG46" s="1133" t="s">
        <v>67</v>
      </c>
      <c r="AH46" s="1343"/>
      <c r="AI46" s="1133" t="s">
        <v>57</v>
      </c>
      <c r="AJ46" s="1082"/>
      <c r="AK46" s="143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7" t="e">
        <f ca="1">STRCHECKDATE(V47:AJ47)</f>
        <v>#NAME?</v>
      </c>
      <c r="AM46" s="79"/>
      <c r="AN46" s="79" t="str">
        <f t="shared" si="1"/>
        <v/>
      </c>
      <c r="AO46" s="79"/>
      <c r="AP46" s="79"/>
    </row>
    <row r="47" spans="1:42" ht="0" hidden="1" customHeight="1">
      <c r="A47" s="822" t="s">
        <v>263</v>
      </c>
      <c r="B47" s="822" t="s">
        <v>264</v>
      </c>
      <c r="C47" s="822" t="s">
        <v>265</v>
      </c>
      <c r="D47" s="822" t="s">
        <v>2108</v>
      </c>
      <c r="E47" s="1338"/>
      <c r="F47" s="1338"/>
      <c r="G47" s="1338"/>
      <c r="H47" s="1338"/>
      <c r="I47" s="1340"/>
      <c r="J47" s="1340"/>
      <c r="K47" s="1339"/>
      <c r="L47" s="823"/>
      <c r="P47" s="1259"/>
      <c r="Q47" s="1259"/>
      <c r="R47" s="222"/>
      <c r="S47" s="74"/>
      <c r="T47" s="179"/>
      <c r="U47" s="179"/>
      <c r="V47" s="1058"/>
      <c r="W47" s="1058"/>
      <c r="X47" s="1057" t="str">
        <f>Y46&amp;"-"&amp;AA46</f>
        <v>-</v>
      </c>
      <c r="Y47" s="1334"/>
      <c r="Z47" s="1334"/>
      <c r="AA47" s="1334"/>
      <c r="AB47" s="1334"/>
      <c r="AC47" s="1055"/>
      <c r="AD47" s="1055"/>
      <c r="AE47" s="1057" t="str">
        <f>AF46&amp;"-"&amp;AH46</f>
        <v>-</v>
      </c>
      <c r="AF47" s="1342"/>
      <c r="AG47" s="1133"/>
      <c r="AH47" s="1344"/>
      <c r="AI47" s="1133"/>
      <c r="AJ47" s="1083"/>
      <c r="AK47" s="1435"/>
      <c r="AM47" s="79"/>
      <c r="AN47" s="79" t="str">
        <f t="shared" si="1"/>
        <v/>
      </c>
      <c r="AO47" s="79"/>
      <c r="AP47" s="79"/>
    </row>
    <row r="48" spans="1:42" ht="21" customHeight="1">
      <c r="A48" s="822" t="s">
        <v>263</v>
      </c>
      <c r="B48" s="822" t="s">
        <v>264</v>
      </c>
      <c r="C48" s="822" t="s">
        <v>265</v>
      </c>
      <c r="D48" s="822" t="s">
        <v>2108</v>
      </c>
      <c r="E48" s="1338"/>
      <c r="F48" s="1338"/>
      <c r="G48" s="1338"/>
      <c r="H48" s="1338"/>
      <c r="I48" s="1340"/>
      <c r="J48" s="1339"/>
      <c r="K48" s="822"/>
      <c r="L48" s="823"/>
      <c r="P48" s="1259"/>
      <c r="Q48" s="1259"/>
      <c r="R48" s="221"/>
      <c r="S48" s="796"/>
      <c r="T48" s="174" t="s">
        <v>1686</v>
      </c>
      <c r="U48" s="228"/>
      <c r="V48" s="228"/>
      <c r="W48" s="228"/>
      <c r="X48" s="228"/>
      <c r="Y48" s="228"/>
      <c r="Z48" s="228"/>
      <c r="AA48" s="228"/>
      <c r="AB48" s="228"/>
      <c r="AC48" s="228"/>
      <c r="AD48" s="228"/>
      <c r="AE48" s="228"/>
      <c r="AF48" s="228"/>
      <c r="AG48" s="228"/>
      <c r="AH48" s="228"/>
      <c r="AI48" s="228"/>
      <c r="AJ48" s="228"/>
      <c r="AK48" s="782" t="s">
        <v>1687</v>
      </c>
      <c r="AM48" s="79"/>
      <c r="AN48" s="79" t="str">
        <f t="shared" si="1"/>
        <v>Добавить значение признака дифференциации</v>
      </c>
      <c r="AO48" s="79"/>
      <c r="AP48" s="79"/>
    </row>
    <row r="49" spans="1:42" ht="21" customHeight="1">
      <c r="A49" s="822" t="s">
        <v>263</v>
      </c>
      <c r="B49" s="822" t="s">
        <v>264</v>
      </c>
      <c r="C49" s="822" t="s">
        <v>265</v>
      </c>
      <c r="D49" s="822" t="s">
        <v>2108</v>
      </c>
      <c r="E49" s="1338"/>
      <c r="F49" s="1338"/>
      <c r="G49" s="1338"/>
      <c r="H49" s="1338"/>
      <c r="I49" s="1339"/>
      <c r="J49" s="822"/>
      <c r="K49" s="822"/>
      <c r="L49" s="823"/>
      <c r="P49" s="1259"/>
      <c r="Q49" s="127"/>
      <c r="R49" s="221"/>
      <c r="S49" s="796"/>
      <c r="T49" s="226" t="s">
        <v>1477</v>
      </c>
      <c r="U49" s="228"/>
      <c r="V49" s="228"/>
      <c r="W49" s="228"/>
      <c r="X49" s="228"/>
      <c r="Y49" s="228"/>
      <c r="Z49" s="228"/>
      <c r="AA49" s="228"/>
      <c r="AB49" s="205"/>
      <c r="AC49" s="228"/>
      <c r="AD49" s="228"/>
      <c r="AE49" s="228"/>
      <c r="AF49" s="228"/>
      <c r="AG49" s="228"/>
      <c r="AH49" s="228"/>
      <c r="AI49" s="205"/>
      <c r="AJ49" s="228"/>
      <c r="AK49" s="854"/>
      <c r="AM49" s="79"/>
      <c r="AN49" s="79" t="str">
        <f t="shared" si="1"/>
        <v>Добавить группу потребителей</v>
      </c>
      <c r="AO49" s="79"/>
      <c r="AP49" s="79"/>
    </row>
    <row r="50" spans="1:42" ht="21" customHeight="1">
      <c r="A50" s="822" t="s">
        <v>263</v>
      </c>
      <c r="B50" s="822" t="s">
        <v>264</v>
      </c>
      <c r="C50" s="822" t="s">
        <v>265</v>
      </c>
      <c r="D50" s="822" t="s">
        <v>2108</v>
      </c>
      <c r="E50" s="1338"/>
      <c r="F50" s="1338"/>
      <c r="G50" s="1338"/>
      <c r="H50" s="1337"/>
      <c r="I50" s="822"/>
      <c r="J50" s="822"/>
      <c r="K50" s="822"/>
      <c r="L50" s="823"/>
      <c r="M50" s="452"/>
      <c r="N50" s="452"/>
      <c r="O50" s="72"/>
      <c r="P50" s="43"/>
      <c r="Q50" s="231"/>
      <c r="R50" s="220"/>
      <c r="S50" s="796"/>
      <c r="T50" s="113" t="s">
        <v>1688</v>
      </c>
      <c r="U50" s="228"/>
      <c r="V50" s="228"/>
      <c r="W50" s="228"/>
      <c r="X50" s="228"/>
      <c r="Y50" s="228"/>
      <c r="Z50" s="228"/>
      <c r="AA50" s="228"/>
      <c r="AB50" s="205"/>
      <c r="AC50" s="228"/>
      <c r="AD50" s="228"/>
      <c r="AE50" s="228"/>
      <c r="AF50" s="228"/>
      <c r="AG50" s="228"/>
      <c r="AH50" s="228"/>
      <c r="AI50" s="205"/>
      <c r="AJ50" s="228"/>
      <c r="AK50" s="182"/>
      <c r="AM50" s="79"/>
      <c r="AN50" s="79" t="str">
        <f t="shared" si="1"/>
        <v>Добавить наименование признака дифференциации</v>
      </c>
      <c r="AO50" s="79"/>
      <c r="AP50" s="79"/>
    </row>
    <row r="51" spans="1:42" s="77" customFormat="1" ht="0.75" customHeight="1">
      <c r="A51" s="150" t="s">
        <v>263</v>
      </c>
      <c r="B51" s="150" t="s">
        <v>264</v>
      </c>
      <c r="C51" s="150"/>
      <c r="D51" s="150"/>
      <c r="E51" s="1338"/>
      <c r="F51" s="1337"/>
      <c r="G51" s="150"/>
      <c r="H51" s="150"/>
      <c r="I51" s="150"/>
      <c r="J51" s="150"/>
      <c r="K51" s="150"/>
      <c r="L51" s="373"/>
      <c r="M51" s="815"/>
      <c r="N51" s="815"/>
      <c r="P51" s="111"/>
      <c r="Q51" s="811"/>
      <c r="R51" s="111"/>
      <c r="S51" s="816"/>
      <c r="T51" s="818" t="s">
        <v>1438</v>
      </c>
      <c r="U51" s="338"/>
      <c r="V51" s="338"/>
      <c r="W51" s="338"/>
      <c r="X51" s="338"/>
      <c r="Y51" s="338"/>
      <c r="Z51" s="338"/>
      <c r="AA51" s="338"/>
      <c r="AB51" s="338"/>
      <c r="AC51" s="338"/>
      <c r="AD51" s="338"/>
      <c r="AE51" s="338"/>
      <c r="AF51" s="338"/>
      <c r="AG51" s="338"/>
      <c r="AH51" s="338"/>
      <c r="AI51" s="338"/>
      <c r="AJ51" s="338"/>
      <c r="AK51" s="338"/>
      <c r="AM51" s="79"/>
      <c r="AN51" s="79" t="str">
        <f t="shared" si="1"/>
        <v>Добавить централизованную систему для дифференциации</v>
      </c>
      <c r="AO51" s="79"/>
      <c r="AP51" s="79"/>
    </row>
    <row r="52" spans="1:42" s="77" customFormat="1" ht="0.75" customHeight="1">
      <c r="A52" s="150" t="s">
        <v>263</v>
      </c>
      <c r="B52" s="150"/>
      <c r="C52" s="150"/>
      <c r="D52" s="150"/>
      <c r="E52" s="1337"/>
      <c r="F52" s="150"/>
      <c r="G52" s="150"/>
      <c r="H52" s="150"/>
      <c r="I52" s="150"/>
      <c r="J52" s="150"/>
      <c r="K52" s="150"/>
      <c r="L52" s="373"/>
      <c r="M52" s="815"/>
      <c r="N52" s="815"/>
      <c r="P52" s="111"/>
      <c r="Q52" s="811"/>
      <c r="R52" s="111"/>
      <c r="S52" s="816"/>
      <c r="T52" s="818" t="s">
        <v>1439</v>
      </c>
      <c r="U52" s="338"/>
      <c r="V52" s="338"/>
      <c r="W52" s="338"/>
      <c r="X52" s="338"/>
      <c r="Y52" s="338"/>
      <c r="Z52" s="338"/>
      <c r="AA52" s="338"/>
      <c r="AB52" s="338"/>
      <c r="AC52" s="338"/>
      <c r="AD52" s="338"/>
      <c r="AE52" s="338"/>
      <c r="AF52" s="338"/>
      <c r="AG52" s="338"/>
      <c r="AH52" s="338"/>
      <c r="AI52" s="338"/>
      <c r="AJ52" s="338"/>
      <c r="AK52" s="338"/>
      <c r="AM52" s="79"/>
      <c r="AN52" s="79" t="str">
        <f t="shared" si="1"/>
        <v>Добавить территорию для дифференциации</v>
      </c>
      <c r="AO52" s="79"/>
      <c r="AP52" s="79"/>
    </row>
    <row r="53" spans="1:42" s="77" customFormat="1" ht="0.75" customHeight="1">
      <c r="A53" s="150"/>
      <c r="B53" s="150"/>
      <c r="C53" s="150"/>
      <c r="D53" s="150"/>
      <c r="E53" s="150"/>
      <c r="F53" s="150"/>
      <c r="G53" s="150"/>
      <c r="H53" s="150"/>
      <c r="I53" s="150"/>
      <c r="J53" s="150"/>
      <c r="K53" s="150"/>
      <c r="L53" s="373"/>
      <c r="M53" s="815"/>
      <c r="N53" s="815"/>
      <c r="P53" s="111"/>
      <c r="Q53" s="811"/>
      <c r="R53" s="111"/>
      <c r="S53" s="816"/>
      <c r="T53" s="818" t="s">
        <v>1440</v>
      </c>
      <c r="U53" s="338"/>
      <c r="V53" s="338"/>
      <c r="W53" s="338"/>
      <c r="X53" s="338"/>
      <c r="Y53" s="338"/>
      <c r="Z53" s="338"/>
      <c r="AA53" s="338"/>
      <c r="AB53" s="338"/>
      <c r="AC53" s="338"/>
      <c r="AD53" s="338"/>
      <c r="AE53" s="338"/>
      <c r="AF53" s="338"/>
      <c r="AG53" s="338"/>
      <c r="AH53" s="338"/>
      <c r="AI53" s="338"/>
      <c r="AJ53" s="338"/>
      <c r="AK53" s="338"/>
      <c r="AM53" s="79"/>
      <c r="AN53" s="79" t="str">
        <f t="shared" si="1"/>
        <v>Добавить наименование тарифа</v>
      </c>
      <c r="AO53" s="79"/>
      <c r="AP53" s="79"/>
    </row>
    <row r="54" spans="1:42" ht="11.25" customHeight="1">
      <c r="M54" s="72"/>
      <c r="N54" s="72"/>
      <c r="O54" s="72"/>
      <c r="P54" s="24"/>
      <c r="Q54" s="24"/>
      <c r="R54" s="24"/>
      <c r="S54" s="24"/>
      <c r="AL54" s="24"/>
      <c r="AM54" s="24"/>
      <c r="AN54" s="24"/>
      <c r="AO54" s="24"/>
      <c r="AP54" s="24"/>
    </row>
    <row r="55" spans="1:42" ht="14.25" customHeight="1">
      <c r="O55" s="72"/>
      <c r="S55" s="210" t="s">
        <v>1510</v>
      </c>
      <c r="T55" s="1336" t="s">
        <v>2106</v>
      </c>
      <c r="U55" s="1336"/>
      <c r="V55" s="1336"/>
      <c r="W55" s="1336"/>
      <c r="X55" s="1336"/>
      <c r="Y55" s="1336"/>
      <c r="Z55" s="1336"/>
      <c r="AA55" s="1336"/>
      <c r="AB55" s="1336"/>
      <c r="AC55" s="1336"/>
      <c r="AD55" s="1336"/>
      <c r="AE55" s="1336"/>
      <c r="AF55" s="1336"/>
      <c r="AG55" s="1336"/>
      <c r="AH55" s="1336"/>
      <c r="AI55" s="1336"/>
      <c r="AJ55" s="1336"/>
      <c r="AK55" s="1336"/>
    </row>
    <row r="56" spans="1:42" ht="14.25" customHeight="1">
      <c r="O56" s="72"/>
    </row>
    <row r="57" spans="1:42" ht="14.25" customHeight="1">
      <c r="O57" s="72"/>
      <c r="S57" s="210" t="s">
        <v>1510</v>
      </c>
      <c r="T57" s="1336" t="s">
        <v>2107</v>
      </c>
      <c r="U57" s="1336"/>
      <c r="V57" s="1336"/>
      <c r="W57" s="1336"/>
      <c r="X57" s="1336"/>
      <c r="Y57" s="1336"/>
      <c r="Z57" s="1336"/>
      <c r="AA57" s="1336"/>
      <c r="AB57" s="1336"/>
      <c r="AC57" s="1336"/>
      <c r="AD57" s="1336"/>
      <c r="AE57" s="1336"/>
      <c r="AF57" s="1336"/>
      <c r="AG57" s="1336"/>
      <c r="AH57" s="1336"/>
      <c r="AI57" s="1336"/>
      <c r="AJ57" s="1336"/>
      <c r="AK57" s="1336"/>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3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3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3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3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3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3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3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34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B3E31A-D85D-4B29-77F4-6EDAD3F605F9}">
  <sheetPr>
    <tabColor theme="6" tint="0.39997558519241921"/>
  </sheetPr>
  <dimension ref="A1:BH68"/>
  <sheetViews>
    <sheetView showGridLines="0" topLeftCell="R27" zoomScale="90" workbookViewId="0"/>
  </sheetViews>
  <sheetFormatPr defaultColWidth="10.5703125" defaultRowHeight="14.25" customHeight="1"/>
  <cols>
    <col min="1" max="1" width="11.5703125" style="72" hidden="1" customWidth="1"/>
    <col min="2" max="2" width="11" style="72" hidden="1" customWidth="1"/>
    <col min="3" max="3" width="10.5703125" style="72" hidden="1"/>
    <col min="4" max="4" width="12.85546875" style="72" hidden="1" customWidth="1"/>
    <col min="5" max="5" width="10" style="72" hidden="1" customWidth="1"/>
    <col min="6" max="6" width="8.7109375" style="72" hidden="1" customWidth="1"/>
    <col min="7" max="7" width="7.5703125" style="72" hidden="1" customWidth="1"/>
    <col min="8" max="8" width="11.42578125" style="72" hidden="1" customWidth="1"/>
    <col min="9" max="9" width="12" style="72" hidden="1" customWidth="1"/>
    <col min="10" max="10" width="9.85546875" style="72" hidden="1" customWidth="1"/>
    <col min="11" max="11" width="11.42578125" style="72" hidden="1" customWidth="1"/>
    <col min="12" max="12" width="19.140625" style="388" hidden="1" customWidth="1"/>
    <col min="13" max="14" width="12.28515625" style="541" hidden="1" customWidth="1"/>
    <col min="15" max="15" width="23.42578125" style="541" hidden="1" customWidth="1"/>
    <col min="16" max="16" width="3.7109375" style="541" hidden="1" customWidth="1"/>
    <col min="17" max="17" width="3.7109375" style="825" hidden="1" customWidth="1"/>
    <col min="18" max="18" width="3.7109375" style="37" customWidth="1"/>
    <col min="19" max="19" width="12.7109375" style="368" customWidth="1"/>
    <col min="20" max="20" width="32" style="24" customWidth="1"/>
    <col min="21" max="21" width="0.140625" style="24" customWidth="1"/>
    <col min="22" max="25" width="21.7109375" style="24" hidden="1" customWidth="1"/>
    <col min="26" max="26" width="11.7109375" style="24" hidden="1" customWidth="1"/>
    <col min="27" max="27" width="3.7109375" style="24" hidden="1" customWidth="1"/>
    <col min="28" max="28" width="11.7109375" style="24" hidden="1" customWidth="1"/>
    <col min="29" max="29" width="8.5703125" style="24" hidden="1" customWidth="1"/>
    <col min="30" max="32" width="3.7109375" style="24" customWidth="1"/>
    <col min="33" max="33" width="24.7109375" style="24" customWidth="1"/>
    <col min="34" max="36" width="3.7109375" style="24" customWidth="1"/>
    <col min="37" max="37" width="24.7109375" style="24" customWidth="1"/>
    <col min="38" max="40" width="3.7109375" style="24" customWidth="1"/>
    <col min="41" max="41" width="18.85546875" style="24" customWidth="1"/>
    <col min="42" max="44" width="3.7109375" style="24" customWidth="1"/>
    <col min="45" max="45" width="18.85546875" style="24" customWidth="1"/>
    <col min="46" max="49" width="21.7109375" style="24" customWidth="1"/>
    <col min="50" max="50" width="11.7109375" style="24" customWidth="1"/>
    <col min="51" max="51" width="3.7109375" style="24" customWidth="1"/>
    <col min="52" max="52" width="11.7109375" style="24" customWidth="1"/>
    <col min="53" max="53" width="8.5703125" style="24" hidden="1" customWidth="1"/>
    <col min="54" max="54" width="4.7109375" style="24" customWidth="1"/>
    <col min="55" max="55" width="115.7109375" style="24" customWidth="1"/>
    <col min="56" max="57" width="10.5703125" style="77"/>
    <col min="58" max="58" width="11.140625" style="77" customWidth="1"/>
    <col min="59" max="60" width="10.5703125" style="77"/>
  </cols>
  <sheetData>
    <row r="1" spans="1:60" ht="14.25" hidden="1" customHeight="1"/>
    <row r="2" spans="1:60" ht="21" hidden="1" customHeight="1">
      <c r="A2" s="822"/>
      <c r="B2" s="822"/>
      <c r="C2" s="822"/>
      <c r="D2" s="822"/>
      <c r="E2" s="1337">
        <v>1</v>
      </c>
      <c r="F2" s="822"/>
      <c r="G2" s="822"/>
      <c r="H2" s="822"/>
      <c r="I2" s="822"/>
      <c r="J2" s="822"/>
      <c r="K2" s="822"/>
      <c r="L2" s="823"/>
      <c r="M2" s="452"/>
      <c r="N2" s="452"/>
      <c r="O2" s="452"/>
      <c r="Q2" s="71"/>
      <c r="R2" s="220"/>
      <c r="S2" s="755" t="e">
        <f>INDEX(PT_DIFFERENTIATION_NUM_NTAR,MATCH(A2,PT_DIFFERENTIATION_NTAR_ID,0))</f>
        <v>#N/A</v>
      </c>
      <c r="T2" s="76" t="s">
        <v>124</v>
      </c>
      <c r="U2" s="179"/>
      <c r="V2" s="1332"/>
      <c r="W2" s="1332"/>
      <c r="X2" s="1332"/>
      <c r="Y2" s="1332"/>
      <c r="Z2" s="1332"/>
      <c r="AA2" s="1332"/>
      <c r="AB2" s="1332"/>
      <c r="AC2" s="1333"/>
      <c r="AD2" s="1331" t="e">
        <f>INDEX(PT_DIFFERENTIATION_NTAR,MATCH(A2,PT_DIFFERENTIATION_NTAR_ID,0))</f>
        <v>#N/A</v>
      </c>
      <c r="AE2" s="1332"/>
      <c r="AF2" s="1332"/>
      <c r="AG2" s="1332"/>
      <c r="AH2" s="1332"/>
      <c r="AI2" s="1332"/>
      <c r="AJ2" s="1332"/>
      <c r="AK2" s="1332"/>
      <c r="AL2" s="1332"/>
      <c r="AM2" s="1332"/>
      <c r="AN2" s="1332"/>
      <c r="AO2" s="1332"/>
      <c r="AP2" s="1332"/>
      <c r="AQ2" s="1332"/>
      <c r="AR2" s="1332"/>
      <c r="AS2" s="1332"/>
      <c r="AT2" s="1332"/>
      <c r="AU2" s="1332"/>
      <c r="AV2" s="1332"/>
      <c r="AW2" s="1332"/>
      <c r="AX2" s="1332"/>
      <c r="AY2" s="1332"/>
      <c r="AZ2" s="1332"/>
      <c r="BA2" s="1332"/>
      <c r="BB2" s="1333"/>
      <c r="BC2" s="7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79"/>
      <c r="BF2" s="79" t="str">
        <f t="shared" ref="BF2:BF8" si="0">IF(T2="","",T2)</f>
        <v>Наименование тарифа</v>
      </c>
      <c r="BG2" s="79"/>
      <c r="BH2" s="79"/>
    </row>
    <row r="3" spans="1:60" ht="21" hidden="1" customHeight="1">
      <c r="A3" s="822"/>
      <c r="B3" s="822"/>
      <c r="C3" s="822"/>
      <c r="D3" s="822"/>
      <c r="E3" s="1338"/>
      <c r="F3" s="1337">
        <v>1</v>
      </c>
      <c r="G3" s="822"/>
      <c r="H3" s="822"/>
      <c r="I3" s="822"/>
      <c r="J3" s="822"/>
      <c r="K3" s="822"/>
      <c r="L3" s="823"/>
      <c r="M3" s="452"/>
      <c r="N3" s="452"/>
      <c r="O3" s="452"/>
      <c r="P3" s="388"/>
      <c r="Q3" s="845"/>
      <c r="R3" s="218"/>
      <c r="S3" s="755" t="e">
        <f>INDEX(PT_DIFFERENTIATION_NUM_TER,MATCH(B3,PT_DIFFERENTIATION_TER_ID,0))</f>
        <v>#N/A</v>
      </c>
      <c r="T3" s="187" t="s">
        <v>1462</v>
      </c>
      <c r="U3" s="179"/>
      <c r="V3" s="1332"/>
      <c r="W3" s="1332"/>
      <c r="X3" s="1332"/>
      <c r="Y3" s="1332"/>
      <c r="Z3" s="1332"/>
      <c r="AA3" s="1332"/>
      <c r="AB3" s="1332"/>
      <c r="AC3" s="1333"/>
      <c r="AD3" s="1331" t="e">
        <f>INDEX(PT_DIFFERENTIATION_TER,MATCH(B3,PT_DIFFERENTIATION_TER_ID,0))</f>
        <v>#N/A</v>
      </c>
      <c r="AE3" s="1332"/>
      <c r="AF3" s="1332"/>
      <c r="AG3" s="1332"/>
      <c r="AH3" s="1332"/>
      <c r="AI3" s="1332"/>
      <c r="AJ3" s="1332"/>
      <c r="AK3" s="1332"/>
      <c r="AL3" s="1332"/>
      <c r="AM3" s="1332"/>
      <c r="AN3" s="1332"/>
      <c r="AO3" s="1332"/>
      <c r="AP3" s="1332"/>
      <c r="AQ3" s="1332"/>
      <c r="AR3" s="1332"/>
      <c r="AS3" s="1332"/>
      <c r="AT3" s="1332"/>
      <c r="AU3" s="1332"/>
      <c r="AV3" s="1332"/>
      <c r="AW3" s="1332"/>
      <c r="AX3" s="1332"/>
      <c r="AY3" s="1332"/>
      <c r="AZ3" s="1332"/>
      <c r="BA3" s="1332"/>
      <c r="BB3" s="1333"/>
      <c r="BC3" s="782" t="s">
        <v>1463</v>
      </c>
      <c r="BE3" s="79"/>
      <c r="BF3" s="79" t="str">
        <f t="shared" si="0"/>
        <v>Территория действия тарифа</v>
      </c>
      <c r="BG3" s="79"/>
      <c r="BH3" s="79"/>
    </row>
    <row r="4" spans="1:60" ht="33.75" hidden="1" customHeight="1">
      <c r="A4" s="822"/>
      <c r="B4" s="822"/>
      <c r="C4" s="822"/>
      <c r="D4" s="822"/>
      <c r="E4" s="1338"/>
      <c r="F4" s="1338"/>
      <c r="G4" s="1337">
        <v>1</v>
      </c>
      <c r="H4" s="822"/>
      <c r="I4" s="822"/>
      <c r="J4" s="822"/>
      <c r="K4" s="822"/>
      <c r="L4" s="823"/>
      <c r="M4" s="452"/>
      <c r="N4" s="452"/>
      <c r="O4" s="452"/>
      <c r="P4" s="136"/>
      <c r="Q4" s="845"/>
      <c r="R4" s="218"/>
      <c r="S4" s="755" t="e">
        <f>INDEX(PT_DIFFERENTIATION_NUM_CS,MATCH(C4,PT_DIFFERENTIATION_CS_ID,0))</f>
        <v>#N/A</v>
      </c>
      <c r="T4" s="188" t="s">
        <v>2101</v>
      </c>
      <c r="U4" s="179"/>
      <c r="V4" s="1332"/>
      <c r="W4" s="1332"/>
      <c r="X4" s="1332"/>
      <c r="Y4" s="1332"/>
      <c r="Z4" s="1332"/>
      <c r="AA4" s="1332"/>
      <c r="AB4" s="1332"/>
      <c r="AC4" s="1333"/>
      <c r="AD4" s="1331" t="e">
        <f>INDEX(PT_DIFFERENTIATION_CS,MATCH(C4,PT_DIFFERENTIATION_CS_ID,0))</f>
        <v>#N/A</v>
      </c>
      <c r="AE4" s="1332"/>
      <c r="AF4" s="1332"/>
      <c r="AG4" s="1332"/>
      <c r="AH4" s="1332"/>
      <c r="AI4" s="1332"/>
      <c r="AJ4" s="1332"/>
      <c r="AK4" s="1332"/>
      <c r="AL4" s="1332"/>
      <c r="AM4" s="1332"/>
      <c r="AN4" s="1332"/>
      <c r="AO4" s="1332"/>
      <c r="AP4" s="1332"/>
      <c r="AQ4" s="1332"/>
      <c r="AR4" s="1332"/>
      <c r="AS4" s="1332"/>
      <c r="AT4" s="1332"/>
      <c r="AU4" s="1332"/>
      <c r="AV4" s="1332"/>
      <c r="AW4" s="1332"/>
      <c r="AX4" s="1332"/>
      <c r="AY4" s="1332"/>
      <c r="AZ4" s="1332"/>
      <c r="BA4" s="1332"/>
      <c r="BB4" s="1333"/>
      <c r="BC4" s="782" t="s">
        <v>2102</v>
      </c>
      <c r="BE4" s="79"/>
      <c r="BF4" s="79" t="str">
        <f t="shared" si="0"/>
        <v>Наименование централизованной системы водоотведения</v>
      </c>
      <c r="BG4" s="79"/>
      <c r="BH4" s="79"/>
    </row>
    <row r="5" spans="1:60" s="77" customFormat="1" ht="14.25" hidden="1" customHeight="1">
      <c r="A5" s="150"/>
      <c r="B5" s="150"/>
      <c r="C5" s="150"/>
      <c r="D5" s="150"/>
      <c r="E5" s="1338"/>
      <c r="F5" s="1338"/>
      <c r="G5" s="1338"/>
      <c r="H5" s="1337">
        <v>1</v>
      </c>
      <c r="I5" s="150"/>
      <c r="J5" s="150"/>
      <c r="K5" s="150"/>
      <c r="L5" s="373"/>
      <c r="M5" s="318"/>
      <c r="N5" s="318"/>
      <c r="O5" s="318"/>
      <c r="P5" s="858"/>
      <c r="Q5" s="859"/>
      <c r="R5" s="222"/>
      <c r="S5" s="389"/>
      <c r="T5" s="860"/>
      <c r="U5" s="832"/>
      <c r="V5" s="1366"/>
      <c r="W5" s="1366"/>
      <c r="X5" s="1366"/>
      <c r="Y5" s="1366"/>
      <c r="Z5" s="1366"/>
      <c r="AA5" s="1366"/>
      <c r="AB5" s="1366"/>
      <c r="AC5" s="1367"/>
      <c r="AD5" s="1365"/>
      <c r="AE5" s="1366"/>
      <c r="AF5" s="1366"/>
      <c r="AG5" s="1366"/>
      <c r="AH5" s="1366"/>
      <c r="AI5" s="1366"/>
      <c r="AJ5" s="1366"/>
      <c r="AK5" s="1366"/>
      <c r="AL5" s="1366"/>
      <c r="AM5" s="1366"/>
      <c r="AN5" s="1366"/>
      <c r="AO5" s="1366"/>
      <c r="AP5" s="1366"/>
      <c r="AQ5" s="1366"/>
      <c r="AR5" s="1366"/>
      <c r="AS5" s="1366"/>
      <c r="AT5" s="1366"/>
      <c r="AU5" s="1366"/>
      <c r="AV5" s="1366"/>
      <c r="AW5" s="1366"/>
      <c r="AX5" s="1366"/>
      <c r="AY5" s="1366"/>
      <c r="AZ5" s="1366"/>
      <c r="BA5" s="1366"/>
      <c r="BB5" s="1367"/>
      <c r="BC5" s="833" t="s">
        <v>1467</v>
      </c>
      <c r="BE5" s="79"/>
      <c r="BF5" s="79" t="str">
        <f t="shared" si="0"/>
        <v/>
      </c>
      <c r="BG5" s="79"/>
      <c r="BH5" s="79"/>
    </row>
    <row r="6" spans="1:60" s="77" customFormat="1" ht="14.25" hidden="1" customHeight="1">
      <c r="A6" s="150"/>
      <c r="B6" s="150"/>
      <c r="C6" s="150"/>
      <c r="D6" s="150"/>
      <c r="E6" s="1338"/>
      <c r="F6" s="1338"/>
      <c r="G6" s="1338"/>
      <c r="H6" s="1338"/>
      <c r="I6" s="1339" t="str">
        <f>S5&amp;".1"</f>
        <v>.1</v>
      </c>
      <c r="J6" s="150"/>
      <c r="K6" s="150"/>
      <c r="L6" s="373" t="s">
        <v>1468</v>
      </c>
      <c r="M6" s="235"/>
      <c r="N6" s="235"/>
      <c r="O6" s="235"/>
      <c r="P6" s="1259">
        <v>1</v>
      </c>
      <c r="Q6" s="127"/>
      <c r="R6" s="221"/>
      <c r="S6" s="389"/>
      <c r="T6" s="831"/>
      <c r="U6" s="832"/>
      <c r="V6" s="1366"/>
      <c r="W6" s="1366"/>
      <c r="X6" s="1366"/>
      <c r="Y6" s="1366"/>
      <c r="Z6" s="1366"/>
      <c r="AA6" s="1366"/>
      <c r="AB6" s="1366"/>
      <c r="AC6" s="1367"/>
      <c r="AD6" s="1365"/>
      <c r="AE6" s="1366"/>
      <c r="AF6" s="1366"/>
      <c r="AG6" s="1366"/>
      <c r="AH6" s="1366"/>
      <c r="AI6" s="1366"/>
      <c r="AJ6" s="1366"/>
      <c r="AK6" s="1366"/>
      <c r="AL6" s="1366"/>
      <c r="AM6" s="1366"/>
      <c r="AN6" s="1366"/>
      <c r="AO6" s="1366"/>
      <c r="AP6" s="1366"/>
      <c r="AQ6" s="1366"/>
      <c r="AR6" s="1366"/>
      <c r="AS6" s="1366"/>
      <c r="AT6" s="1366"/>
      <c r="AU6" s="1366"/>
      <c r="AV6" s="1366"/>
      <c r="AW6" s="1366"/>
      <c r="AX6" s="1366"/>
      <c r="AY6" s="1366"/>
      <c r="AZ6" s="1366"/>
      <c r="BA6" s="1366"/>
      <c r="BB6" s="1367"/>
      <c r="BC6" s="833"/>
      <c r="BE6" s="79"/>
      <c r="BF6" s="79" t="str">
        <f t="shared" si="0"/>
        <v/>
      </c>
      <c r="BG6" s="79"/>
      <c r="BH6" s="79"/>
    </row>
    <row r="7" spans="1:60" s="77" customFormat="1" ht="14.25" hidden="1" customHeight="1">
      <c r="A7" s="150"/>
      <c r="B7" s="150"/>
      <c r="C7" s="150"/>
      <c r="D7" s="150"/>
      <c r="E7" s="1338"/>
      <c r="F7" s="1338"/>
      <c r="G7" s="1338"/>
      <c r="H7" s="1338"/>
      <c r="I7" s="1340"/>
      <c r="J7" s="1339" t="str">
        <f>S5&amp;".1"</f>
        <v>.1</v>
      </c>
      <c r="K7" s="150"/>
      <c r="L7" s="373"/>
      <c r="M7" s="235"/>
      <c r="N7" s="235"/>
      <c r="O7" s="235"/>
      <c r="P7" s="1259"/>
      <c r="Q7" s="1259">
        <v>1</v>
      </c>
      <c r="R7" s="222"/>
      <c r="S7" s="389"/>
      <c r="T7" s="840"/>
      <c r="U7" s="832"/>
      <c r="V7" s="1366"/>
      <c r="W7" s="1366"/>
      <c r="X7" s="1366"/>
      <c r="Y7" s="1366"/>
      <c r="Z7" s="1366"/>
      <c r="AA7" s="1366"/>
      <c r="AB7" s="1366"/>
      <c r="AC7" s="1367"/>
      <c r="AD7" s="1365"/>
      <c r="AE7" s="1366"/>
      <c r="AF7" s="1366"/>
      <c r="AG7" s="1366"/>
      <c r="AH7" s="1366"/>
      <c r="AI7" s="1366"/>
      <c r="AJ7" s="1366"/>
      <c r="AK7" s="1366"/>
      <c r="AL7" s="1366"/>
      <c r="AM7" s="1366"/>
      <c r="AN7" s="1366"/>
      <c r="AO7" s="1366"/>
      <c r="AP7" s="1366"/>
      <c r="AQ7" s="1366"/>
      <c r="AR7" s="1366"/>
      <c r="AS7" s="1366"/>
      <c r="AT7" s="1366"/>
      <c r="AU7" s="1366"/>
      <c r="AV7" s="1366"/>
      <c r="AW7" s="1366"/>
      <c r="AX7" s="1366"/>
      <c r="AY7" s="1366"/>
      <c r="AZ7" s="1366"/>
      <c r="BA7" s="1366"/>
      <c r="BB7" s="1367"/>
      <c r="BC7" s="833"/>
      <c r="BE7" s="79"/>
      <c r="BF7" s="79" t="str">
        <f t="shared" si="0"/>
        <v/>
      </c>
      <c r="BG7" s="79"/>
      <c r="BH7" s="79"/>
    </row>
    <row r="8" spans="1:60" ht="11.25" hidden="1" customHeight="1">
      <c r="A8" s="822"/>
      <c r="B8" s="822"/>
      <c r="C8" s="822"/>
      <c r="D8" s="822"/>
      <c r="E8" s="1338"/>
      <c r="F8" s="1338"/>
      <c r="G8" s="1338"/>
      <c r="H8" s="1338"/>
      <c r="I8" s="1340"/>
      <c r="J8" s="1340"/>
      <c r="K8" s="1339" t="e">
        <f>S4&amp;".1"</f>
        <v>#N/A</v>
      </c>
      <c r="L8" s="823"/>
      <c r="P8" s="1259"/>
      <c r="Q8" s="1259"/>
      <c r="R8" s="1391">
        <v>1</v>
      </c>
      <c r="S8" s="1388" t="e">
        <f>$K8</f>
        <v>#N/A</v>
      </c>
      <c r="T8" s="1438"/>
      <c r="U8" s="179"/>
      <c r="V8" s="1054"/>
      <c r="W8" s="1056"/>
      <c r="X8" s="1054"/>
      <c r="Y8" s="1056"/>
      <c r="Z8" s="990"/>
      <c r="AA8" s="322" t="s">
        <v>67</v>
      </c>
      <c r="AB8" s="990"/>
      <c r="AC8" s="322" t="s">
        <v>67</v>
      </c>
      <c r="AD8" s="1195" t="s">
        <v>67</v>
      </c>
      <c r="AE8" s="1384"/>
      <c r="AF8" s="1383">
        <v>1</v>
      </c>
      <c r="AG8" s="1437"/>
      <c r="AH8" s="1133" t="s">
        <v>67</v>
      </c>
      <c r="AI8" s="1384"/>
      <c r="AJ8" s="1383">
        <v>1</v>
      </c>
      <c r="AK8" s="1436" t="s">
        <v>17</v>
      </c>
      <c r="AL8" s="1133" t="s">
        <v>67</v>
      </c>
      <c r="AM8" s="1183"/>
      <c r="AN8" s="1383">
        <v>1</v>
      </c>
      <c r="AO8" s="1441"/>
      <c r="AP8" s="1442" t="s">
        <v>67</v>
      </c>
      <c r="AQ8" s="190"/>
      <c r="AR8" s="820">
        <v>1</v>
      </c>
      <c r="AS8" s="165" t="s">
        <v>17</v>
      </c>
      <c r="AT8" s="1054"/>
      <c r="AU8" s="1056"/>
      <c r="AV8" s="1054"/>
      <c r="AW8" s="1056"/>
      <c r="AX8" s="990"/>
      <c r="AY8" s="322" t="s">
        <v>67</v>
      </c>
      <c r="AZ8" s="990"/>
      <c r="BA8" s="322" t="s">
        <v>67</v>
      </c>
      <c r="BB8" s="1060"/>
      <c r="BC8" s="1359" t="s">
        <v>1701</v>
      </c>
      <c r="BE8" s="79"/>
      <c r="BF8" s="79" t="str">
        <f t="shared" si="0"/>
        <v/>
      </c>
      <c r="BG8" s="79"/>
      <c r="BH8" s="79"/>
    </row>
    <row r="9" spans="1:60" ht="11.25" hidden="1" customHeight="1">
      <c r="A9" s="822"/>
      <c r="B9" s="822"/>
      <c r="C9" s="822"/>
      <c r="D9" s="822"/>
      <c r="E9" s="1338"/>
      <c r="F9" s="1338"/>
      <c r="G9" s="1338"/>
      <c r="H9" s="1338"/>
      <c r="I9" s="1340"/>
      <c r="J9" s="1340"/>
      <c r="K9" s="1339"/>
      <c r="L9" s="823"/>
      <c r="P9" s="1259"/>
      <c r="Q9" s="1259"/>
      <c r="R9" s="1391"/>
      <c r="S9" s="1389"/>
      <c r="T9" s="1439"/>
      <c r="U9" s="179"/>
      <c r="V9" s="1067"/>
      <c r="W9" s="1071"/>
      <c r="X9" s="1067"/>
      <c r="Y9" s="1071"/>
      <c r="Z9" s="1067"/>
      <c r="AA9" s="1067"/>
      <c r="AB9" s="1067"/>
      <c r="AC9" s="1067"/>
      <c r="AD9" s="1196"/>
      <c r="AE9" s="1384"/>
      <c r="AF9" s="1383"/>
      <c r="AG9" s="1437"/>
      <c r="AH9" s="1133"/>
      <c r="AI9" s="1384"/>
      <c r="AJ9" s="1383"/>
      <c r="AK9" s="1436"/>
      <c r="AL9" s="1133"/>
      <c r="AM9" s="1188"/>
      <c r="AN9" s="1383"/>
      <c r="AO9" s="1441"/>
      <c r="AP9" s="1443"/>
      <c r="AQ9" s="195"/>
      <c r="AR9" s="62"/>
      <c r="AS9" s="62" t="s">
        <v>1702</v>
      </c>
      <c r="AT9" s="1067"/>
      <c r="AU9" s="1071"/>
      <c r="AV9" s="1067"/>
      <c r="AW9" s="1071"/>
      <c r="AX9" s="1067"/>
      <c r="AY9" s="1067"/>
      <c r="AZ9" s="1067"/>
      <c r="BA9" s="1067"/>
      <c r="BB9" s="1070"/>
      <c r="BC9" s="1360"/>
      <c r="BE9" s="79"/>
      <c r="BF9" s="79"/>
      <c r="BG9" s="79"/>
      <c r="BH9" s="79"/>
    </row>
    <row r="10" spans="1:60" ht="11.25" hidden="1" customHeight="1">
      <c r="A10" s="822"/>
      <c r="B10" s="822"/>
      <c r="C10" s="822"/>
      <c r="D10" s="822"/>
      <c r="E10" s="1338"/>
      <c r="F10" s="1338"/>
      <c r="G10" s="1338"/>
      <c r="H10" s="1338"/>
      <c r="I10" s="1340"/>
      <c r="J10" s="1340"/>
      <c r="K10" s="1339"/>
      <c r="L10" s="823"/>
      <c r="P10" s="1259"/>
      <c r="Q10" s="1259"/>
      <c r="R10" s="1391"/>
      <c r="S10" s="1389"/>
      <c r="T10" s="1439"/>
      <c r="U10" s="179"/>
      <c r="V10" s="1067"/>
      <c r="W10" s="1071"/>
      <c r="X10" s="1067"/>
      <c r="Y10" s="1071"/>
      <c r="Z10" s="1067"/>
      <c r="AA10" s="1067"/>
      <c r="AB10" s="1067"/>
      <c r="AC10" s="1067"/>
      <c r="AD10" s="1196"/>
      <c r="AE10" s="1384"/>
      <c r="AF10" s="1383"/>
      <c r="AG10" s="1437"/>
      <c r="AH10" s="1133"/>
      <c r="AI10" s="1384"/>
      <c r="AJ10" s="1383"/>
      <c r="AK10" s="1436"/>
      <c r="AL10" s="1133"/>
      <c r="AM10" s="195"/>
      <c r="AN10" s="861"/>
      <c r="AO10" s="861" t="s">
        <v>2109</v>
      </c>
      <c r="AP10" s="62"/>
      <c r="AQ10" s="62"/>
      <c r="AR10" s="62"/>
      <c r="AS10" s="1067"/>
      <c r="AT10" s="1067"/>
      <c r="AU10" s="1071"/>
      <c r="AV10" s="1067"/>
      <c r="AW10" s="1071"/>
      <c r="AX10" s="1067"/>
      <c r="AY10" s="1067"/>
      <c r="AZ10" s="1067"/>
      <c r="BA10" s="1067"/>
      <c r="BB10" s="1070"/>
      <c r="BC10" s="1360"/>
      <c r="BE10" s="79"/>
      <c r="BF10" s="79"/>
      <c r="BG10" s="79"/>
      <c r="BH10" s="79"/>
    </row>
    <row r="11" spans="1:60" ht="11.25" hidden="1" customHeight="1">
      <c r="A11" s="822"/>
      <c r="B11" s="822"/>
      <c r="C11" s="822"/>
      <c r="D11" s="822"/>
      <c r="E11" s="1338"/>
      <c r="F11" s="1338"/>
      <c r="G11" s="1338"/>
      <c r="H11" s="1338"/>
      <c r="I11" s="1340"/>
      <c r="J11" s="1340"/>
      <c r="K11" s="1339"/>
      <c r="L11" s="823"/>
      <c r="P11" s="1259"/>
      <c r="Q11" s="1259"/>
      <c r="R11" s="1391"/>
      <c r="S11" s="1389"/>
      <c r="T11" s="1439"/>
      <c r="U11" s="179"/>
      <c r="V11" s="1067"/>
      <c r="W11" s="1071"/>
      <c r="X11" s="1067"/>
      <c r="Y11" s="1071"/>
      <c r="Z11" s="1067"/>
      <c r="AA11" s="1067"/>
      <c r="AB11" s="1067"/>
      <c r="AC11" s="1067"/>
      <c r="AD11" s="1196"/>
      <c r="AE11" s="1384"/>
      <c r="AF11" s="1383"/>
      <c r="AG11" s="1437"/>
      <c r="AH11" s="1133"/>
      <c r="AI11" s="177"/>
      <c r="AJ11" s="116"/>
      <c r="AK11" s="192" t="s">
        <v>2110</v>
      </c>
      <c r="AL11" s="1067"/>
      <c r="AM11" s="1067"/>
      <c r="AN11" s="1067"/>
      <c r="AO11" s="1067"/>
      <c r="AP11" s="1067"/>
      <c r="AQ11" s="1067"/>
      <c r="AR11" s="1067"/>
      <c r="AS11" s="1067"/>
      <c r="AT11" s="1067"/>
      <c r="AU11" s="1071"/>
      <c r="AV11" s="1067"/>
      <c r="AW11" s="1071"/>
      <c r="AX11" s="1067"/>
      <c r="AY11" s="1067"/>
      <c r="AZ11" s="1067"/>
      <c r="BA11" s="1067"/>
      <c r="BB11" s="1070"/>
      <c r="BC11" s="1360"/>
      <c r="BE11" s="79"/>
      <c r="BF11" s="79"/>
      <c r="BG11" s="79"/>
      <c r="BH11" s="79"/>
    </row>
    <row r="12" spans="1:60" ht="11.25" hidden="1" customHeight="1">
      <c r="A12" s="822"/>
      <c r="B12" s="822"/>
      <c r="C12" s="822"/>
      <c r="D12" s="822"/>
      <c r="E12" s="1338"/>
      <c r="F12" s="1338"/>
      <c r="G12" s="1338"/>
      <c r="H12" s="1338"/>
      <c r="I12" s="1340"/>
      <c r="J12" s="1340"/>
      <c r="K12" s="1339"/>
      <c r="L12" s="823"/>
      <c r="P12" s="1259"/>
      <c r="Q12" s="1259"/>
      <c r="R12" s="1391"/>
      <c r="S12" s="1390"/>
      <c r="T12" s="1440"/>
      <c r="U12" s="179"/>
      <c r="V12" s="1067"/>
      <c r="W12" s="1068" t="str">
        <f>Z8&amp;"-"&amp;AB8</f>
        <v>-</v>
      </c>
      <c r="X12" s="1067"/>
      <c r="Y12" s="1068" t="str">
        <f>AB8&amp;"-"&amp;AD8</f>
        <v>-да</v>
      </c>
      <c r="Z12" s="1067"/>
      <c r="AA12" s="1067"/>
      <c r="AB12" s="1067"/>
      <c r="AC12" s="1067"/>
      <c r="AD12" s="1138"/>
      <c r="AE12" s="191"/>
      <c r="AF12" s="193"/>
      <c r="AG12" s="62" t="s">
        <v>1705</v>
      </c>
      <c r="AH12" s="1067"/>
      <c r="AI12" s="1067"/>
      <c r="AJ12" s="1067"/>
      <c r="AK12" s="1067"/>
      <c r="AL12" s="1067"/>
      <c r="AM12" s="1067"/>
      <c r="AN12" s="1067"/>
      <c r="AO12" s="1067"/>
      <c r="AP12" s="1067"/>
      <c r="AQ12" s="1067"/>
      <c r="AR12" s="1067"/>
      <c r="AS12" s="1067"/>
      <c r="AT12" s="1067"/>
      <c r="AU12" s="1068" t="str">
        <f>AX8&amp;"-"&amp;AZ8</f>
        <v>-</v>
      </c>
      <c r="AV12" s="1067"/>
      <c r="AW12" s="1068" t="str">
        <f>AZ8&amp;"-"&amp;BB8</f>
        <v>-</v>
      </c>
      <c r="AX12" s="1067"/>
      <c r="AY12" s="1067"/>
      <c r="AZ12" s="1067"/>
      <c r="BA12" s="1067"/>
      <c r="BB12" s="1073" t="str">
        <f>BE8&amp;"-"&amp;BG8</f>
        <v>-</v>
      </c>
      <c r="BC12" s="1360"/>
      <c r="BE12" s="79"/>
      <c r="BF12" s="79" t="str">
        <f t="shared" ref="BF12:BF18" si="1">IF(T12="","",T12)</f>
        <v/>
      </c>
      <c r="BG12" s="79"/>
      <c r="BH12" s="79"/>
    </row>
    <row r="13" spans="1:60" ht="11.25" hidden="1" customHeight="1">
      <c r="A13" s="822"/>
      <c r="B13" s="822"/>
      <c r="C13" s="822"/>
      <c r="D13" s="822"/>
      <c r="E13" s="1338"/>
      <c r="F13" s="1338"/>
      <c r="G13" s="1338"/>
      <c r="H13" s="1338"/>
      <c r="I13" s="1340"/>
      <c r="J13" s="1339"/>
      <c r="K13" s="822"/>
      <c r="L13" s="823"/>
      <c r="P13" s="1259"/>
      <c r="Q13" s="1259"/>
      <c r="R13" s="221"/>
      <c r="S13" s="796"/>
      <c r="T13" s="174" t="s">
        <v>1542</v>
      </c>
      <c r="U13" s="228"/>
      <c r="V13" s="228"/>
      <c r="W13" s="228"/>
      <c r="X13" s="228"/>
      <c r="Y13" s="228"/>
      <c r="Z13" s="228"/>
      <c r="AA13" s="228"/>
      <c r="AB13" s="228"/>
      <c r="AC13" s="228"/>
      <c r="AD13" s="865"/>
      <c r="AE13" s="228"/>
      <c r="AF13" s="228"/>
      <c r="AG13" s="228"/>
      <c r="AH13" s="228"/>
      <c r="AI13" s="228"/>
      <c r="AJ13" s="228"/>
      <c r="AK13" s="228"/>
      <c r="AL13" s="228"/>
      <c r="AM13" s="228"/>
      <c r="AN13" s="228"/>
      <c r="AO13" s="228"/>
      <c r="AP13" s="228"/>
      <c r="AQ13" s="228"/>
      <c r="AR13" s="228"/>
      <c r="AS13" s="228"/>
      <c r="AT13" s="228"/>
      <c r="AU13" s="228"/>
      <c r="AV13" s="228"/>
      <c r="AW13" s="228"/>
      <c r="AX13" s="228"/>
      <c r="AY13" s="228"/>
      <c r="AZ13" s="228"/>
      <c r="BA13" s="228"/>
      <c r="BB13" s="204"/>
      <c r="BC13" s="1361"/>
      <c r="BE13" s="79"/>
      <c r="BF13" s="79" t="str">
        <f t="shared" si="1"/>
        <v>Добавить строку</v>
      </c>
      <c r="BG13" s="79"/>
      <c r="BH13" s="79"/>
    </row>
    <row r="14" spans="1:60" s="77" customFormat="1" ht="14.25" hidden="1" customHeight="1">
      <c r="A14" s="150"/>
      <c r="B14" s="150"/>
      <c r="C14" s="150"/>
      <c r="D14" s="150"/>
      <c r="E14" s="1338"/>
      <c r="F14" s="1338"/>
      <c r="G14" s="1338"/>
      <c r="H14" s="1338"/>
      <c r="I14" s="1339"/>
      <c r="J14" s="150"/>
      <c r="K14" s="150"/>
      <c r="L14" s="373"/>
      <c r="M14" s="235"/>
      <c r="N14" s="235"/>
      <c r="O14" s="235"/>
      <c r="P14" s="1259"/>
      <c r="Q14" s="127"/>
      <c r="R14" s="221"/>
      <c r="S14" s="834"/>
      <c r="T14" s="835"/>
      <c r="U14" s="836"/>
      <c r="V14" s="836"/>
      <c r="W14" s="836"/>
      <c r="X14" s="836"/>
      <c r="Y14" s="836"/>
      <c r="Z14" s="836"/>
      <c r="AA14" s="836"/>
      <c r="AB14" s="836"/>
      <c r="AC14" s="836"/>
      <c r="AD14" s="836"/>
      <c r="AE14" s="836"/>
      <c r="AF14" s="836"/>
      <c r="AG14" s="836"/>
      <c r="AH14" s="836"/>
      <c r="AI14" s="836"/>
      <c r="AJ14" s="836"/>
      <c r="AK14" s="836"/>
      <c r="AL14" s="836"/>
      <c r="AM14" s="836"/>
      <c r="AN14" s="836"/>
      <c r="AO14" s="836"/>
      <c r="AP14" s="836"/>
      <c r="AQ14" s="836"/>
      <c r="AR14" s="836"/>
      <c r="AS14" s="836"/>
      <c r="AT14" s="836"/>
      <c r="AU14" s="836"/>
      <c r="AV14" s="836"/>
      <c r="AW14" s="836"/>
      <c r="AX14" s="836"/>
      <c r="AY14" s="836"/>
      <c r="AZ14" s="836"/>
      <c r="BA14" s="836"/>
      <c r="BB14" s="836"/>
      <c r="BC14" s="837"/>
      <c r="BE14" s="79"/>
      <c r="BF14" s="79" t="str">
        <f t="shared" si="1"/>
        <v/>
      </c>
      <c r="BG14" s="79"/>
      <c r="BH14" s="79"/>
    </row>
    <row r="15" spans="1:60" s="77" customFormat="1" ht="14.25" hidden="1" customHeight="1">
      <c r="A15" s="150"/>
      <c r="B15" s="150"/>
      <c r="C15" s="150"/>
      <c r="D15" s="150"/>
      <c r="E15" s="1338"/>
      <c r="F15" s="1338"/>
      <c r="G15" s="1338"/>
      <c r="H15" s="1337"/>
      <c r="I15" s="150"/>
      <c r="J15" s="150"/>
      <c r="K15" s="150"/>
      <c r="L15" s="373"/>
      <c r="M15" s="318"/>
      <c r="N15" s="318"/>
      <c r="P15" s="111"/>
      <c r="Q15" s="811"/>
      <c r="R15" s="842"/>
      <c r="S15" s="834"/>
      <c r="T15" s="835"/>
      <c r="U15" s="836"/>
      <c r="V15" s="836"/>
      <c r="W15" s="836"/>
      <c r="X15" s="836"/>
      <c r="Y15" s="836"/>
      <c r="Z15" s="836"/>
      <c r="AA15" s="836"/>
      <c r="AB15" s="836"/>
      <c r="AC15" s="836"/>
      <c r="AD15" s="836"/>
      <c r="AE15" s="836"/>
      <c r="AF15" s="836"/>
      <c r="AG15" s="836"/>
      <c r="AH15" s="836"/>
      <c r="AI15" s="836"/>
      <c r="AJ15" s="836"/>
      <c r="AK15" s="836"/>
      <c r="AL15" s="836"/>
      <c r="AM15" s="836"/>
      <c r="AN15" s="836"/>
      <c r="AO15" s="836"/>
      <c r="AP15" s="836"/>
      <c r="AQ15" s="836"/>
      <c r="AR15" s="836"/>
      <c r="AS15" s="836"/>
      <c r="AT15" s="836"/>
      <c r="AU15" s="836"/>
      <c r="AV15" s="836"/>
      <c r="AW15" s="836"/>
      <c r="AX15" s="836"/>
      <c r="AY15" s="836"/>
      <c r="AZ15" s="836"/>
      <c r="BA15" s="836"/>
      <c r="BB15" s="836"/>
      <c r="BC15" s="837"/>
      <c r="BE15" s="79"/>
      <c r="BF15" s="79" t="str">
        <f t="shared" si="1"/>
        <v/>
      </c>
      <c r="BG15" s="79"/>
      <c r="BH15" s="79"/>
    </row>
    <row r="16" spans="1:60" s="77" customFormat="1" ht="14.25" hidden="1" customHeight="1">
      <c r="A16" s="150"/>
      <c r="B16" s="150"/>
      <c r="C16" s="150"/>
      <c r="D16" s="150"/>
      <c r="E16" s="1338"/>
      <c r="F16" s="1338"/>
      <c r="G16" s="1337"/>
      <c r="H16" s="150"/>
      <c r="I16" s="150"/>
      <c r="J16" s="150"/>
      <c r="K16" s="150"/>
      <c r="L16" s="373"/>
      <c r="M16" s="318"/>
      <c r="N16" s="318"/>
      <c r="P16" s="111"/>
      <c r="Q16" s="811"/>
      <c r="R16" s="111"/>
      <c r="S16" s="816"/>
      <c r="T16" s="818"/>
      <c r="U16" s="338"/>
      <c r="V16" s="338"/>
      <c r="W16" s="338"/>
      <c r="X16" s="338"/>
      <c r="Y16" s="338"/>
      <c r="Z16" s="338"/>
      <c r="AA16" s="338"/>
      <c r="AB16" s="338"/>
      <c r="AC16" s="338"/>
      <c r="AD16" s="338"/>
      <c r="AE16" s="338"/>
      <c r="AF16" s="338"/>
      <c r="AG16" s="338"/>
      <c r="AH16" s="338"/>
      <c r="AI16" s="338"/>
      <c r="AJ16" s="338"/>
      <c r="AK16" s="338"/>
      <c r="AL16" s="338"/>
      <c r="AM16" s="338"/>
      <c r="AN16" s="338"/>
      <c r="AO16" s="338"/>
      <c r="AP16" s="338"/>
      <c r="AQ16" s="338"/>
      <c r="AR16" s="338"/>
      <c r="AS16" s="338"/>
      <c r="AT16" s="338"/>
      <c r="AU16" s="338"/>
      <c r="AV16" s="338"/>
      <c r="AW16" s="338"/>
      <c r="AX16" s="338"/>
      <c r="AY16" s="338"/>
      <c r="AZ16" s="338"/>
      <c r="BA16" s="338"/>
      <c r="BB16" s="338"/>
      <c r="BC16" s="338"/>
      <c r="BE16" s="79"/>
      <c r="BF16" s="79" t="str">
        <f t="shared" si="1"/>
        <v/>
      </c>
      <c r="BG16" s="79"/>
      <c r="BH16" s="79"/>
    </row>
    <row r="17" spans="1:60" s="77" customFormat="1" ht="14.25" hidden="1" customHeight="1">
      <c r="A17" s="150"/>
      <c r="B17" s="150"/>
      <c r="C17" s="150"/>
      <c r="D17" s="150"/>
      <c r="E17" s="1338"/>
      <c r="F17" s="1337"/>
      <c r="G17" s="150"/>
      <c r="H17" s="150"/>
      <c r="I17" s="150"/>
      <c r="J17" s="150"/>
      <c r="K17" s="150"/>
      <c r="L17" s="373"/>
      <c r="M17" s="815"/>
      <c r="N17" s="815"/>
      <c r="P17" s="111"/>
      <c r="Q17" s="811"/>
      <c r="R17" s="111"/>
      <c r="S17" s="816"/>
      <c r="T17" s="818" t="s">
        <v>1438</v>
      </c>
      <c r="U17" s="338"/>
      <c r="V17" s="338"/>
      <c r="W17" s="338"/>
      <c r="X17" s="338"/>
      <c r="Y17" s="338"/>
      <c r="Z17" s="338"/>
      <c r="AA17" s="338"/>
      <c r="AB17" s="338"/>
      <c r="AC17" s="338"/>
      <c r="AD17" s="338"/>
      <c r="AE17" s="338"/>
      <c r="AF17" s="338"/>
      <c r="AG17" s="338"/>
      <c r="AH17" s="338"/>
      <c r="AI17" s="338"/>
      <c r="AJ17" s="338"/>
      <c r="AK17" s="338"/>
      <c r="AL17" s="338"/>
      <c r="AM17" s="338"/>
      <c r="AN17" s="338"/>
      <c r="AO17" s="338"/>
      <c r="AP17" s="338"/>
      <c r="AQ17" s="338"/>
      <c r="AR17" s="338"/>
      <c r="AS17" s="338"/>
      <c r="AT17" s="338"/>
      <c r="AU17" s="338"/>
      <c r="AV17" s="338"/>
      <c r="AW17" s="338"/>
      <c r="AX17" s="338"/>
      <c r="AY17" s="338"/>
      <c r="AZ17" s="338"/>
      <c r="BA17" s="338"/>
      <c r="BB17" s="338"/>
      <c r="BC17" s="338"/>
      <c r="BE17" s="79"/>
      <c r="BF17" s="79" t="str">
        <f t="shared" si="1"/>
        <v>Добавить централизованную систему для дифференциации</v>
      </c>
      <c r="BG17" s="79"/>
      <c r="BH17" s="79"/>
    </row>
    <row r="18" spans="1:60" s="77" customFormat="1" ht="14.25" hidden="1" customHeight="1">
      <c r="A18" s="150"/>
      <c r="B18" s="150"/>
      <c r="C18" s="150"/>
      <c r="D18" s="150"/>
      <c r="E18" s="1337"/>
      <c r="F18" s="150"/>
      <c r="G18" s="150"/>
      <c r="H18" s="150"/>
      <c r="I18" s="150"/>
      <c r="J18" s="150"/>
      <c r="K18" s="150"/>
      <c r="L18" s="373"/>
      <c r="M18" s="815"/>
      <c r="N18" s="815"/>
      <c r="P18" s="111"/>
      <c r="Q18" s="811"/>
      <c r="R18" s="111"/>
      <c r="S18" s="816"/>
      <c r="T18" s="818" t="s">
        <v>1439</v>
      </c>
      <c r="U18" s="338"/>
      <c r="V18" s="338"/>
      <c r="W18" s="338"/>
      <c r="X18" s="338"/>
      <c r="Y18" s="338"/>
      <c r="Z18" s="338"/>
      <c r="AA18" s="338"/>
      <c r="AB18" s="338"/>
      <c r="AC18" s="338"/>
      <c r="AD18" s="338"/>
      <c r="AE18" s="338"/>
      <c r="AF18" s="338"/>
      <c r="AG18" s="338"/>
      <c r="AH18" s="338"/>
      <c r="AI18" s="338"/>
      <c r="AJ18" s="338"/>
      <c r="AK18" s="338"/>
      <c r="AL18" s="338"/>
      <c r="AM18" s="338"/>
      <c r="AN18" s="338"/>
      <c r="AO18" s="338"/>
      <c r="AP18" s="338"/>
      <c r="AQ18" s="338"/>
      <c r="AR18" s="338"/>
      <c r="AS18" s="338"/>
      <c r="AT18" s="338"/>
      <c r="AU18" s="338"/>
      <c r="AV18" s="338"/>
      <c r="AW18" s="338"/>
      <c r="AX18" s="338"/>
      <c r="AY18" s="338"/>
      <c r="AZ18" s="338"/>
      <c r="BA18" s="338"/>
      <c r="BB18" s="338"/>
      <c r="BC18" s="338"/>
      <c r="BE18" s="79"/>
      <c r="BF18" s="79" t="str">
        <f t="shared" si="1"/>
        <v>Добавить территорию для дифференциации</v>
      </c>
      <c r="BG18" s="79"/>
      <c r="BH18" s="79"/>
    </row>
    <row r="19" spans="1:60" ht="14.25" hidden="1" customHeight="1"/>
    <row r="20" spans="1:60" ht="14.25" hidden="1" customHeight="1">
      <c r="AD20" s="338" t="s">
        <v>57</v>
      </c>
      <c r="AE20" s="862"/>
      <c r="AF20" s="338">
        <v>1</v>
      </c>
      <c r="AG20" s="863"/>
      <c r="AH20" s="338" t="s">
        <v>57</v>
      </c>
      <c r="AI20" s="862"/>
      <c r="AJ20" s="338">
        <v>1</v>
      </c>
      <c r="AK20" s="863"/>
      <c r="AL20" s="338" t="s">
        <v>57</v>
      </c>
      <c r="AM20" s="864"/>
      <c r="AN20" s="338">
        <v>1</v>
      </c>
      <c r="AO20" s="132"/>
      <c r="AP20" s="338" t="s">
        <v>57</v>
      </c>
      <c r="AQ20" s="864"/>
      <c r="AR20" s="338">
        <v>1</v>
      </c>
      <c r="AS20" s="132"/>
      <c r="AT20" s="1055"/>
      <c r="AU20" s="1062"/>
      <c r="AV20" s="1055"/>
      <c r="AW20" s="1062"/>
      <c r="AX20" s="992"/>
      <c r="AY20" s="843" t="s">
        <v>67</v>
      </c>
      <c r="AZ20" s="992"/>
      <c r="BA20" s="843" t="s">
        <v>67</v>
      </c>
    </row>
    <row r="21" spans="1:60" ht="14.25" hidden="1" customHeight="1">
      <c r="BD21" s="216"/>
      <c r="BE21" s="216"/>
      <c r="BF21" s="216"/>
      <c r="BG21" s="216"/>
      <c r="BH21" s="216"/>
    </row>
    <row r="22" spans="1:60" ht="14.25" hidden="1" customHeight="1">
      <c r="O22" s="824" t="s">
        <v>1479</v>
      </c>
      <c r="Z22" s="194"/>
      <c r="AB22" s="194"/>
      <c r="AX22" s="194"/>
      <c r="AZ22" s="194"/>
      <c r="BD22" s="216"/>
      <c r="BE22" s="216"/>
      <c r="BF22" s="216"/>
      <c r="BG22" s="216"/>
      <c r="BH22" s="216"/>
    </row>
    <row r="23" spans="1:60" ht="14.25" hidden="1" customHeight="1">
      <c r="BD23" s="216"/>
      <c r="BE23" s="216"/>
      <c r="BF23" s="216"/>
      <c r="BG23" s="216"/>
      <c r="BH23" s="216"/>
    </row>
    <row r="24" spans="1:60" s="867" customFormat="1" ht="14.25" hidden="1" customHeight="1">
      <c r="M24" s="868"/>
      <c r="N24" s="868"/>
      <c r="O24" s="867" t="s">
        <v>1480</v>
      </c>
      <c r="P24" s="868"/>
      <c r="Q24" s="869"/>
      <c r="R24" s="869"/>
      <c r="AA24" s="867" t="s">
        <v>1482</v>
      </c>
      <c r="AC24" s="867" t="s">
        <v>1483</v>
      </c>
      <c r="AD24" s="867" t="s">
        <v>1543</v>
      </c>
      <c r="AH24" s="867" t="s">
        <v>1543</v>
      </c>
      <c r="AK24" s="867" t="s">
        <v>1706</v>
      </c>
      <c r="AL24" s="867" t="s">
        <v>1543</v>
      </c>
      <c r="AP24" s="867" t="s">
        <v>1543</v>
      </c>
      <c r="AY24" s="867" t="s">
        <v>1482</v>
      </c>
      <c r="BA24" s="867" t="s">
        <v>1483</v>
      </c>
      <c r="BD24" s="870"/>
      <c r="BE24" s="870"/>
      <c r="BF24" s="870"/>
      <c r="BG24" s="870"/>
      <c r="BH24" s="870"/>
    </row>
    <row r="25" spans="1:60" ht="14.25" hidden="1" customHeight="1">
      <c r="O25" s="823"/>
      <c r="BD25" s="216"/>
      <c r="BE25" s="216"/>
      <c r="BF25" s="216"/>
      <c r="BG25" s="216"/>
      <c r="BH25" s="216"/>
    </row>
    <row r="26" spans="1:60" ht="14.25" hidden="1" customHeight="1">
      <c r="O26" s="823"/>
      <c r="BD26" s="216"/>
      <c r="BE26" s="216"/>
      <c r="BF26" s="216"/>
      <c r="BG26" s="216"/>
      <c r="BH26" s="216"/>
    </row>
    <row r="27" spans="1:60" ht="14.25" customHeight="1">
      <c r="Q27" s="176"/>
      <c r="R27" s="36"/>
      <c r="S27" s="793"/>
      <c r="T27" s="25"/>
      <c r="U27" s="25"/>
    </row>
    <row r="28" spans="1:60" ht="33.75" customHeight="1">
      <c r="Q28" s="176"/>
      <c r="R28" s="36"/>
      <c r="S28" s="1181" t="str">
        <f>IF(TEMPLATE_GROUP="P",PT_P_FORM_VOTV_5_NAME_FORM,PT_R_FORM_VOTV_17_NAME_FORM)</f>
        <v>Форма 17. Информация о предложении расчетной величины тарифов на подключение к централизованной системе водоотведения &lt;1&gt;</v>
      </c>
      <c r="T28" s="1181"/>
      <c r="U28" s="1181"/>
      <c r="V28" s="1181"/>
      <c r="W28" s="1181"/>
      <c r="X28" s="1181"/>
      <c r="Y28" s="1181"/>
      <c r="Z28" s="1181"/>
      <c r="AA28" s="1181"/>
      <c r="AB28" s="1181"/>
      <c r="AC28" s="1181"/>
      <c r="AD28" s="1181"/>
      <c r="AE28" s="1181"/>
      <c r="AF28" s="1181"/>
      <c r="AG28" s="1181"/>
      <c r="AH28" s="1181"/>
      <c r="AI28" s="1181"/>
      <c r="AJ28" s="1181"/>
      <c r="AK28" s="1181"/>
      <c r="AL28" s="1181"/>
      <c r="AM28" s="1181"/>
      <c r="AN28" s="1181"/>
      <c r="AO28" s="1181"/>
      <c r="AP28" s="1181"/>
      <c r="AQ28" s="1181"/>
      <c r="AR28" s="1181"/>
      <c r="AS28" s="1181"/>
      <c r="AT28" s="1181"/>
      <c r="AU28" s="1181"/>
      <c r="AV28" s="1181"/>
      <c r="AW28" s="1181"/>
      <c r="AX28" s="1181"/>
      <c r="AY28" s="1181"/>
      <c r="AZ28" s="1181"/>
      <c r="BA28" s="69"/>
    </row>
    <row r="29" spans="1:60" ht="14.25" customHeight="1">
      <c r="Q29" s="176"/>
      <c r="R29" s="36"/>
      <c r="S29" s="1204" t="str">
        <f>IF(org=0,"Не определено",org)</f>
        <v>ООО "ТЕПЛО ПЛЮС"</v>
      </c>
      <c r="T29" s="1204"/>
      <c r="U29" s="1204"/>
      <c r="V29" s="1204"/>
      <c r="W29" s="1204"/>
      <c r="X29" s="1204"/>
      <c r="Y29" s="1204"/>
      <c r="Z29" s="1204"/>
      <c r="AA29" s="1204"/>
      <c r="AB29" s="1204"/>
      <c r="AC29" s="1204"/>
      <c r="AD29" s="1204"/>
      <c r="AE29" s="1204"/>
      <c r="AF29" s="1204"/>
      <c r="AG29" s="1204"/>
      <c r="AH29" s="1204"/>
      <c r="AI29" s="1204"/>
      <c r="AJ29" s="1204"/>
      <c r="AK29" s="1204"/>
      <c r="AL29" s="1204"/>
      <c r="AM29" s="1204"/>
      <c r="AN29" s="1204"/>
      <c r="AO29" s="1204"/>
      <c r="AP29" s="1204"/>
      <c r="AQ29" s="1204"/>
      <c r="AR29" s="1204"/>
      <c r="AS29" s="1204"/>
      <c r="AT29" s="1204"/>
      <c r="AU29" s="1204"/>
      <c r="AV29" s="1204"/>
      <c r="AW29" s="1204"/>
      <c r="AX29" s="1204"/>
      <c r="AY29" s="1204"/>
      <c r="AZ29" s="1204"/>
      <c r="BA29" s="69"/>
    </row>
    <row r="30" spans="1:60" ht="14.25" hidden="1" customHeight="1">
      <c r="Q30" s="176"/>
      <c r="R30" s="36"/>
      <c r="S30" s="793"/>
      <c r="T30" s="25"/>
      <c r="U30" s="25"/>
      <c r="V30" s="202"/>
      <c r="W30" s="202"/>
      <c r="X30" s="202"/>
      <c r="Y30" s="202"/>
      <c r="Z30" s="202"/>
      <c r="AA30" s="202"/>
      <c r="AB30" s="202"/>
      <c r="AC30" s="202"/>
      <c r="AD30" s="202"/>
      <c r="AE30" s="202"/>
      <c r="AF30" s="202"/>
      <c r="AG30" s="202"/>
      <c r="AH30" s="202"/>
      <c r="AI30" s="202"/>
      <c r="AJ30" s="202"/>
      <c r="AK30" s="202"/>
      <c r="AL30" s="202"/>
      <c r="AM30" s="202"/>
      <c r="AN30" s="202"/>
      <c r="AO30" s="202"/>
      <c r="AP30" s="202"/>
      <c r="AQ30" s="202"/>
      <c r="AR30" s="202"/>
      <c r="AS30" s="202"/>
      <c r="AT30" s="202"/>
      <c r="AU30" s="202"/>
      <c r="AV30" s="202"/>
      <c r="AW30" s="202"/>
      <c r="AX30" s="202"/>
      <c r="AY30" s="202"/>
      <c r="AZ30" s="202"/>
      <c r="BA30" s="202"/>
    </row>
    <row r="31" spans="1:60" s="44" customFormat="1" ht="25.5" hidden="1" customHeight="1">
      <c r="A31" s="91"/>
      <c r="B31" s="91"/>
      <c r="C31" s="91"/>
      <c r="D31" s="91"/>
      <c r="E31" s="91"/>
      <c r="F31" s="91"/>
      <c r="G31" s="91"/>
      <c r="H31" s="91"/>
      <c r="I31" s="91"/>
      <c r="J31" s="91"/>
      <c r="K31" s="91"/>
      <c r="L31" s="823"/>
      <c r="M31" s="91"/>
      <c r="N31" s="91"/>
      <c r="O31" s="91"/>
      <c r="P31" s="91"/>
      <c r="Q31" s="91"/>
      <c r="S31" s="1329" t="s">
        <v>39</v>
      </c>
      <c r="T31" s="1329"/>
      <c r="U31" s="826"/>
      <c r="V31" s="1330"/>
      <c r="W31" s="1330"/>
      <c r="X31" s="1330"/>
      <c r="Y31" s="1330"/>
      <c r="Z31" s="1330"/>
      <c r="AA31" s="1330"/>
      <c r="AB31" s="1330"/>
      <c r="AC31" s="24"/>
      <c r="AD31" s="1330" t="str">
        <f>IF(TITLE_NAME_OR_PR_CHANGE="",IF(TITLE_NAME_OR_PR="","",TITLE_NAME_OR_PR),TITLE_NAME_OR_PR_CHANGE)</f>
        <v/>
      </c>
      <c r="AE31" s="1330"/>
      <c r="AF31" s="1330"/>
      <c r="AG31" s="1330"/>
      <c r="AH31" s="1330"/>
      <c r="AI31" s="1330"/>
      <c r="AJ31" s="1330"/>
      <c r="AK31" s="1330"/>
      <c r="AL31" s="1330"/>
      <c r="AM31" s="1330"/>
      <c r="AN31" s="1330"/>
      <c r="AO31" s="1330"/>
      <c r="AP31" s="1330"/>
      <c r="AQ31" s="1330"/>
      <c r="AR31" s="1330"/>
      <c r="AS31" s="1330"/>
      <c r="AT31" s="1330"/>
      <c r="AU31" s="1330"/>
      <c r="AV31" s="1330"/>
      <c r="AW31" s="1330"/>
      <c r="AX31" s="1330"/>
      <c r="AY31" s="1330"/>
      <c r="AZ31" s="1330"/>
      <c r="BA31" s="24"/>
      <c r="BB31" s="24"/>
      <c r="BC31" s="171"/>
      <c r="BD31" s="79"/>
      <c r="BE31" s="79"/>
      <c r="BF31" s="79"/>
      <c r="BG31" s="79"/>
      <c r="BH31" s="79"/>
    </row>
    <row r="32" spans="1:60" s="44" customFormat="1" ht="18.75" hidden="1" customHeight="1">
      <c r="A32" s="91"/>
      <c r="B32" s="91"/>
      <c r="C32" s="91"/>
      <c r="D32" s="91"/>
      <c r="E32" s="91"/>
      <c r="F32" s="91"/>
      <c r="G32" s="91"/>
      <c r="H32" s="91"/>
      <c r="I32" s="91"/>
      <c r="J32" s="91"/>
      <c r="K32" s="91"/>
      <c r="L32" s="823"/>
      <c r="M32" s="91"/>
      <c r="N32" s="91"/>
      <c r="O32" s="91"/>
      <c r="P32" s="91"/>
      <c r="Q32" s="91"/>
      <c r="S32" s="1329" t="s">
        <v>1485</v>
      </c>
      <c r="T32" s="1329"/>
      <c r="U32" s="826"/>
      <c r="V32" s="1330"/>
      <c r="W32" s="1330"/>
      <c r="X32" s="1330"/>
      <c r="Y32" s="1330"/>
      <c r="Z32" s="1330"/>
      <c r="AA32" s="1330"/>
      <c r="AB32" s="1330"/>
      <c r="AC32" s="24"/>
      <c r="AD32" s="1330" t="str">
        <f>IF(TITLE_DATE_CHANGE_PERIOD="",IF(TITLE_DATE_PR="","",TITLE_DATE_PR),TITLE_DATE_CHANGE_PERIOD)</f>
        <v/>
      </c>
      <c r="AE32" s="1330"/>
      <c r="AF32" s="1330"/>
      <c r="AG32" s="1330"/>
      <c r="AH32" s="1330"/>
      <c r="AI32" s="1330"/>
      <c r="AJ32" s="1330"/>
      <c r="AK32" s="1330"/>
      <c r="AL32" s="1330"/>
      <c r="AM32" s="1330"/>
      <c r="AN32" s="1330"/>
      <c r="AO32" s="1330"/>
      <c r="AP32" s="1330"/>
      <c r="AQ32" s="1330"/>
      <c r="AR32" s="1330"/>
      <c r="AS32" s="1330"/>
      <c r="AT32" s="1330"/>
      <c r="AU32" s="1330"/>
      <c r="AV32" s="1330"/>
      <c r="AW32" s="1330"/>
      <c r="AX32" s="1330"/>
      <c r="AY32" s="1330"/>
      <c r="AZ32" s="1330"/>
      <c r="BA32" s="24"/>
      <c r="BB32" s="24"/>
      <c r="BC32" s="171"/>
      <c r="BD32" s="79"/>
      <c r="BE32" s="79"/>
      <c r="BF32" s="79"/>
      <c r="BG32" s="79"/>
      <c r="BH32" s="79"/>
    </row>
    <row r="33" spans="1:60" s="44" customFormat="1" ht="18.75" hidden="1" customHeight="1">
      <c r="A33" s="91"/>
      <c r="B33" s="91"/>
      <c r="C33" s="91"/>
      <c r="D33" s="91"/>
      <c r="E33" s="91"/>
      <c r="F33" s="91"/>
      <c r="G33" s="91"/>
      <c r="H33" s="91"/>
      <c r="I33" s="91"/>
      <c r="J33" s="91"/>
      <c r="K33" s="91"/>
      <c r="L33" s="823"/>
      <c r="M33" s="91"/>
      <c r="N33" s="91"/>
      <c r="O33" s="91"/>
      <c r="P33" s="91"/>
      <c r="Q33" s="91"/>
      <c r="S33" s="1329" t="s">
        <v>1486</v>
      </c>
      <c r="T33" s="1329"/>
      <c r="U33" s="826"/>
      <c r="V33" s="1330"/>
      <c r="W33" s="1330"/>
      <c r="X33" s="1330"/>
      <c r="Y33" s="1330"/>
      <c r="Z33" s="1330"/>
      <c r="AA33" s="1330"/>
      <c r="AB33" s="1330"/>
      <c r="AC33" s="24"/>
      <c r="AD33" s="1330" t="str">
        <f>IF(TITLE_NUMBER_PR_CHANGE="",IF(TITLE_NUMBER_PR="","",TITLE_NUMBER_PR),TITLE_NUMBER_PR_CHANGE)</f>
        <v/>
      </c>
      <c r="AE33" s="1330"/>
      <c r="AF33" s="1330"/>
      <c r="AG33" s="1330"/>
      <c r="AH33" s="1330"/>
      <c r="AI33" s="1330"/>
      <c r="AJ33" s="1330"/>
      <c r="AK33" s="1330"/>
      <c r="AL33" s="1330"/>
      <c r="AM33" s="1330"/>
      <c r="AN33" s="1330"/>
      <c r="AO33" s="1330"/>
      <c r="AP33" s="1330"/>
      <c r="AQ33" s="1330"/>
      <c r="AR33" s="1330"/>
      <c r="AS33" s="1330"/>
      <c r="AT33" s="1330"/>
      <c r="AU33" s="1330"/>
      <c r="AV33" s="1330"/>
      <c r="AW33" s="1330"/>
      <c r="AX33" s="1330"/>
      <c r="AY33" s="1330"/>
      <c r="AZ33" s="1330"/>
      <c r="BA33" s="24"/>
      <c r="BB33" s="24"/>
      <c r="BC33" s="171"/>
      <c r="BD33" s="79"/>
      <c r="BE33" s="79"/>
      <c r="BF33" s="79"/>
      <c r="BG33" s="79"/>
      <c r="BH33" s="79"/>
    </row>
    <row r="34" spans="1:60" s="44" customFormat="1" ht="18.75" hidden="1" customHeight="1">
      <c r="A34" s="91"/>
      <c r="B34" s="91"/>
      <c r="C34" s="91"/>
      <c r="D34" s="91"/>
      <c r="E34" s="91"/>
      <c r="F34" s="91"/>
      <c r="G34" s="91"/>
      <c r="H34" s="91"/>
      <c r="I34" s="91"/>
      <c r="J34" s="91"/>
      <c r="K34" s="91"/>
      <c r="L34" s="823"/>
      <c r="M34" s="91"/>
      <c r="N34" s="91"/>
      <c r="O34" s="91"/>
      <c r="P34" s="91"/>
      <c r="Q34" s="91"/>
      <c r="S34" s="1329" t="s">
        <v>40</v>
      </c>
      <c r="T34" s="1329"/>
      <c r="U34" s="826"/>
      <c r="V34" s="1330"/>
      <c r="W34" s="1330"/>
      <c r="X34" s="1330"/>
      <c r="Y34" s="1330"/>
      <c r="Z34" s="1330"/>
      <c r="AA34" s="1330"/>
      <c r="AB34" s="1330"/>
      <c r="AC34" s="24"/>
      <c r="AD34" s="1330" t="str">
        <f>IF(TITLE_IST_PUB_CHANGE="",IF(TITLE_IST_PUB="","",TITLE_IST_PUB),TITLE_IST_PUB_CHANGE)</f>
        <v/>
      </c>
      <c r="AE34" s="1330"/>
      <c r="AF34" s="1330"/>
      <c r="AG34" s="1330"/>
      <c r="AH34" s="1330"/>
      <c r="AI34" s="1330"/>
      <c r="AJ34" s="1330"/>
      <c r="AK34" s="1330"/>
      <c r="AL34" s="1330"/>
      <c r="AM34" s="1330"/>
      <c r="AN34" s="1330"/>
      <c r="AO34" s="1330"/>
      <c r="AP34" s="1330"/>
      <c r="AQ34" s="1330"/>
      <c r="AR34" s="1330"/>
      <c r="AS34" s="1330"/>
      <c r="AT34" s="1330"/>
      <c r="AU34" s="1330"/>
      <c r="AV34" s="1330"/>
      <c r="AW34" s="1330"/>
      <c r="AX34" s="1330"/>
      <c r="AY34" s="1330"/>
      <c r="AZ34" s="1330"/>
      <c r="BA34" s="24"/>
      <c r="BB34" s="24"/>
      <c r="BC34" s="171"/>
      <c r="BD34" s="79"/>
      <c r="BE34" s="79"/>
      <c r="BF34" s="79"/>
      <c r="BG34" s="79"/>
      <c r="BH34" s="79"/>
    </row>
    <row r="35" spans="1:60" ht="14.25" hidden="1" customHeight="1">
      <c r="Q35" s="176"/>
      <c r="R35" s="36"/>
      <c r="S35" s="793"/>
      <c r="T35" s="25"/>
      <c r="U35" s="25"/>
      <c r="V35" s="202"/>
      <c r="W35" s="202"/>
      <c r="X35" s="202"/>
      <c r="Y35" s="202"/>
      <c r="Z35" s="202"/>
      <c r="AA35" s="202"/>
      <c r="AB35" s="202"/>
      <c r="AC35" s="202"/>
      <c r="AD35" s="202"/>
      <c r="AE35" s="202"/>
      <c r="AF35" s="202"/>
      <c r="AG35" s="202"/>
      <c r="AH35" s="202"/>
      <c r="AI35" s="202"/>
      <c r="AJ35" s="202"/>
      <c r="AK35" s="202"/>
      <c r="AL35" s="202"/>
      <c r="AM35" s="202"/>
      <c r="AN35" s="202"/>
      <c r="AO35" s="202"/>
      <c r="AP35" s="202"/>
      <c r="AQ35" s="202"/>
      <c r="AR35" s="202"/>
      <c r="AS35" s="202"/>
      <c r="AT35" s="202"/>
      <c r="AU35" s="202"/>
      <c r="AV35" s="202"/>
      <c r="AW35" s="202"/>
      <c r="AX35" s="202"/>
      <c r="AY35" s="202"/>
      <c r="AZ35" s="202"/>
      <c r="BA35" s="202"/>
    </row>
    <row r="36" spans="1:60" s="44" customFormat="1" ht="18.75" hidden="1" customHeight="1">
      <c r="A36" s="91"/>
      <c r="B36" s="91"/>
      <c r="C36" s="91"/>
      <c r="D36" s="91"/>
      <c r="E36" s="91"/>
      <c r="F36" s="91"/>
      <c r="G36" s="91"/>
      <c r="H36" s="91"/>
      <c r="I36" s="91"/>
      <c r="J36" s="91"/>
      <c r="K36" s="91"/>
      <c r="L36" s="823"/>
      <c r="M36" s="91"/>
      <c r="N36" s="91"/>
      <c r="O36" s="91"/>
      <c r="P36" s="91"/>
      <c r="Q36" s="91"/>
      <c r="S36" s="1329" t="s">
        <v>1485</v>
      </c>
      <c r="T36" s="1329"/>
      <c r="U36" s="826"/>
      <c r="V36" s="1330"/>
      <c r="W36" s="1330"/>
      <c r="X36" s="1330"/>
      <c r="Y36" s="1330"/>
      <c r="Z36" s="1330"/>
      <c r="AA36" s="1330"/>
      <c r="AB36" s="1330"/>
      <c r="AC36" s="24"/>
      <c r="AD36" s="1330" t="str">
        <f>IF(TITLE_DATE_CHANGE_PERIOD="",IF(TITLE_DATE_PR="","",TITLE_DATE_PR),TITLE_DATE_CHANGE_PERIOD)</f>
        <v/>
      </c>
      <c r="AE36" s="1330"/>
      <c r="AF36" s="1330"/>
      <c r="AG36" s="1330"/>
      <c r="AH36" s="1330"/>
      <c r="AI36" s="1330"/>
      <c r="AJ36" s="1330"/>
      <c r="AK36" s="1330"/>
      <c r="AL36" s="1330"/>
      <c r="AM36" s="1330"/>
      <c r="AN36" s="1330"/>
      <c r="AO36" s="1330"/>
      <c r="AP36" s="1330"/>
      <c r="AQ36" s="1330"/>
      <c r="AR36" s="1330"/>
      <c r="AS36" s="1330"/>
      <c r="AT36" s="1330"/>
      <c r="AU36" s="1330"/>
      <c r="AV36" s="1330"/>
      <c r="AW36" s="1330"/>
      <c r="AX36" s="1330"/>
      <c r="AY36" s="1330"/>
      <c r="AZ36" s="1330"/>
      <c r="BA36" s="24"/>
      <c r="BB36" s="24"/>
      <c r="BC36" s="171"/>
      <c r="BD36" s="79"/>
      <c r="BE36" s="79"/>
      <c r="BF36" s="79"/>
      <c r="BG36" s="79"/>
      <c r="BH36" s="79"/>
    </row>
    <row r="37" spans="1:60" s="44" customFormat="1" ht="18.75" hidden="1" customHeight="1">
      <c r="A37" s="91"/>
      <c r="B37" s="91"/>
      <c r="C37" s="91"/>
      <c r="D37" s="91"/>
      <c r="E37" s="91"/>
      <c r="F37" s="91"/>
      <c r="G37" s="91"/>
      <c r="H37" s="91"/>
      <c r="I37" s="91"/>
      <c r="J37" s="91"/>
      <c r="K37" s="91"/>
      <c r="L37" s="823"/>
      <c r="M37" s="91"/>
      <c r="N37" s="91"/>
      <c r="O37" s="91"/>
      <c r="P37" s="91"/>
      <c r="Q37" s="91"/>
      <c r="S37" s="1329" t="s">
        <v>1486</v>
      </c>
      <c r="T37" s="1329"/>
      <c r="U37" s="826"/>
      <c r="V37" s="1330"/>
      <c r="W37" s="1330"/>
      <c r="X37" s="1330"/>
      <c r="Y37" s="1330"/>
      <c r="Z37" s="1330"/>
      <c r="AA37" s="1330"/>
      <c r="AB37" s="1330"/>
      <c r="AC37" s="24"/>
      <c r="AD37" s="1330" t="str">
        <f>IF(TITLE_NUMBER_PR_CHANGE="",IF(TITLE_NUMBER_PR="","",TITLE_NUMBER_PR),TITLE_NUMBER_PR_CHANGE)</f>
        <v/>
      </c>
      <c r="AE37" s="1330"/>
      <c r="AF37" s="1330"/>
      <c r="AG37" s="1330"/>
      <c r="AH37" s="1330"/>
      <c r="AI37" s="1330"/>
      <c r="AJ37" s="1330"/>
      <c r="AK37" s="1330"/>
      <c r="AL37" s="1330"/>
      <c r="AM37" s="1330"/>
      <c r="AN37" s="1330"/>
      <c r="AO37" s="1330"/>
      <c r="AP37" s="1330"/>
      <c r="AQ37" s="1330"/>
      <c r="AR37" s="1330"/>
      <c r="AS37" s="1330"/>
      <c r="AT37" s="1330"/>
      <c r="AU37" s="1330"/>
      <c r="AV37" s="1330"/>
      <c r="AW37" s="1330"/>
      <c r="AX37" s="1330"/>
      <c r="AY37" s="1330"/>
      <c r="AZ37" s="1330"/>
      <c r="BA37" s="24"/>
      <c r="BB37" s="24"/>
      <c r="BC37" s="171"/>
      <c r="BD37" s="79"/>
      <c r="BE37" s="79"/>
      <c r="BF37" s="79"/>
      <c r="BG37" s="79"/>
      <c r="BH37" s="79"/>
    </row>
    <row r="38" spans="1:60" s="44" customFormat="1" ht="0" hidden="1" customHeight="1">
      <c r="A38" s="91"/>
      <c r="B38" s="91"/>
      <c r="C38" s="91"/>
      <c r="D38" s="91"/>
      <c r="E38" s="91"/>
      <c r="F38" s="91"/>
      <c r="G38" s="91"/>
      <c r="H38" s="91"/>
      <c r="I38" s="91"/>
      <c r="J38" s="91"/>
      <c r="K38" s="91"/>
      <c r="L38" s="823"/>
      <c r="M38" s="91"/>
      <c r="N38" s="91"/>
      <c r="O38" s="91"/>
      <c r="P38" s="91"/>
      <c r="Q38" s="91"/>
      <c r="S38" s="24"/>
      <c r="T38" s="24"/>
      <c r="U38" s="87"/>
      <c r="V38" s="24"/>
      <c r="W38" s="24"/>
      <c r="X38" s="24"/>
      <c r="Y38" s="24"/>
      <c r="Z38" s="24"/>
      <c r="AA38" s="24"/>
      <c r="AB38" s="24"/>
      <c r="AC38" s="77" t="s">
        <v>1489</v>
      </c>
      <c r="AD38" s="24"/>
      <c r="AE38" s="24"/>
      <c r="AF38" s="24"/>
      <c r="AG38" s="24"/>
      <c r="AH38" s="24"/>
      <c r="AI38" s="24"/>
      <c r="AJ38" s="24"/>
      <c r="AK38" s="24"/>
      <c r="AL38" s="24"/>
      <c r="AM38" s="24"/>
      <c r="AN38" s="24"/>
      <c r="AO38" s="24"/>
      <c r="AP38" s="24"/>
      <c r="AQ38" s="24"/>
      <c r="AR38" s="24"/>
      <c r="AS38" s="24"/>
      <c r="AT38" s="24"/>
      <c r="AU38" s="24"/>
      <c r="AV38" s="24"/>
      <c r="AW38" s="24"/>
      <c r="AX38" s="24"/>
      <c r="AY38" s="24"/>
      <c r="AZ38" s="24"/>
      <c r="BA38" s="77" t="s">
        <v>1489</v>
      </c>
      <c r="BD38" s="79"/>
      <c r="BE38" s="79"/>
      <c r="BF38" s="79"/>
      <c r="BG38" s="79"/>
      <c r="BH38" s="79"/>
    </row>
    <row r="39" spans="1:60" ht="14.25" customHeight="1">
      <c r="Q39" s="176"/>
      <c r="R39" s="36"/>
      <c r="S39" s="793"/>
      <c r="T39" s="25"/>
      <c r="U39" s="766"/>
      <c r="V39" s="1348"/>
      <c r="W39" s="1348"/>
      <c r="X39" s="1348"/>
      <c r="Y39" s="1348"/>
      <c r="Z39" s="1348"/>
      <c r="AA39" s="1348"/>
      <c r="AB39" s="1348"/>
      <c r="AC39" s="1348"/>
      <c r="AD39" s="1348"/>
      <c r="AE39" s="1348"/>
      <c r="AF39" s="1348"/>
      <c r="AG39" s="1348"/>
      <c r="AH39" s="1348"/>
      <c r="AI39" s="1348"/>
      <c r="AJ39" s="1348"/>
      <c r="AK39" s="1348"/>
      <c r="AL39" s="1348"/>
      <c r="AM39" s="1348"/>
      <c r="AN39" s="1348"/>
      <c r="AO39" s="1348"/>
      <c r="AP39" s="1348"/>
      <c r="AQ39" s="1348"/>
      <c r="AR39" s="1348"/>
      <c r="AS39" s="1348"/>
      <c r="AT39" s="1348"/>
      <c r="AU39" s="1348"/>
      <c r="AV39" s="1348"/>
      <c r="AW39" s="1348"/>
      <c r="AX39" s="1348"/>
      <c r="AY39" s="1348"/>
      <c r="AZ39" s="1348"/>
      <c r="BA39" s="1348"/>
    </row>
    <row r="40" spans="1:60" ht="14.25" customHeight="1">
      <c r="Q40" s="176"/>
      <c r="R40" s="36"/>
      <c r="S40" s="1123" t="s">
        <v>292</v>
      </c>
      <c r="T40" s="1123"/>
      <c r="U40" s="1123"/>
      <c r="V40" s="1123"/>
      <c r="W40" s="1123"/>
      <c r="X40" s="1123"/>
      <c r="Y40" s="1123"/>
      <c r="Z40" s="1123"/>
      <c r="AA40" s="1123"/>
      <c r="AB40" s="1123"/>
      <c r="AC40" s="1123"/>
      <c r="AD40" s="1123"/>
      <c r="AE40" s="1123"/>
      <c r="AF40" s="1123"/>
      <c r="AG40" s="1123"/>
      <c r="AH40" s="1123"/>
      <c r="AI40" s="1123"/>
      <c r="AJ40" s="1123"/>
      <c r="AK40" s="1123"/>
      <c r="AL40" s="1123"/>
      <c r="AM40" s="1123"/>
      <c r="AN40" s="1123"/>
      <c r="AO40" s="1123"/>
      <c r="AP40" s="1123"/>
      <c r="AQ40" s="1123"/>
      <c r="AR40" s="1123"/>
      <c r="AS40" s="1123"/>
      <c r="AT40" s="1123"/>
      <c r="AU40" s="1123"/>
      <c r="AV40" s="1123"/>
      <c r="AW40" s="1123"/>
      <c r="AX40" s="1123"/>
      <c r="AY40" s="1123"/>
      <c r="AZ40" s="1123"/>
      <c r="BA40" s="1123"/>
      <c r="BB40" s="1123"/>
      <c r="BC40" s="1123" t="s">
        <v>293</v>
      </c>
    </row>
    <row r="41" spans="1:60" ht="14.25" customHeight="1">
      <c r="Q41" s="176"/>
      <c r="R41" s="36"/>
      <c r="S41" s="1349" t="s">
        <v>88</v>
      </c>
      <c r="T41" s="1213" t="s">
        <v>1707</v>
      </c>
      <c r="U41" s="180"/>
      <c r="V41" s="1350" t="s">
        <v>1491</v>
      </c>
      <c r="W41" s="1351"/>
      <c r="X41" s="1351"/>
      <c r="Y41" s="1351"/>
      <c r="Z41" s="1351"/>
      <c r="AA41" s="1351"/>
      <c r="AB41" s="1352"/>
      <c r="AC41" s="1353" t="s">
        <v>1492</v>
      </c>
      <c r="AD41" s="1375" t="s">
        <v>2111</v>
      </c>
      <c r="AE41" s="1364"/>
      <c r="AF41" s="1364"/>
      <c r="AG41" s="1376"/>
      <c r="AH41" s="1375" t="s">
        <v>2112</v>
      </c>
      <c r="AI41" s="1364"/>
      <c r="AJ41" s="1364"/>
      <c r="AK41" s="1376"/>
      <c r="AL41" s="1375" t="s">
        <v>2113</v>
      </c>
      <c r="AM41" s="1364"/>
      <c r="AN41" s="1364"/>
      <c r="AO41" s="1376"/>
      <c r="AP41" s="1375" t="s">
        <v>1711</v>
      </c>
      <c r="AQ41" s="1364"/>
      <c r="AR41" s="1364"/>
      <c r="AS41" s="1376"/>
      <c r="AT41" s="1350" t="s">
        <v>1491</v>
      </c>
      <c r="AU41" s="1351"/>
      <c r="AV41" s="1351"/>
      <c r="AW41" s="1351"/>
      <c r="AX41" s="1351"/>
      <c r="AY41" s="1351"/>
      <c r="AZ41" s="1352"/>
      <c r="BA41" s="1353" t="s">
        <v>1492</v>
      </c>
      <c r="BB41" s="1356" t="s">
        <v>1494</v>
      </c>
      <c r="BC41" s="1123"/>
    </row>
    <row r="42" spans="1:60" ht="33.75" customHeight="1">
      <c r="Q42" s="176"/>
      <c r="R42" s="36"/>
      <c r="S42" s="1349"/>
      <c r="T42" s="1213"/>
      <c r="U42" s="647"/>
      <c r="V42" s="1183" t="s">
        <v>1712</v>
      </c>
      <c r="W42" s="1184"/>
      <c r="X42" s="1183" t="s">
        <v>1713</v>
      </c>
      <c r="Y42" s="1184"/>
      <c r="Z42" s="1183" t="s">
        <v>1714</v>
      </c>
      <c r="AA42" s="1369"/>
      <c r="AB42" s="1184"/>
      <c r="AC42" s="1354"/>
      <c r="AD42" s="1377"/>
      <c r="AE42" s="1378"/>
      <c r="AF42" s="1378"/>
      <c r="AG42" s="1379"/>
      <c r="AH42" s="1377"/>
      <c r="AI42" s="1378"/>
      <c r="AJ42" s="1378"/>
      <c r="AK42" s="1379"/>
      <c r="AL42" s="1377"/>
      <c r="AM42" s="1378"/>
      <c r="AN42" s="1378"/>
      <c r="AO42" s="1379"/>
      <c r="AP42" s="1377"/>
      <c r="AQ42" s="1378"/>
      <c r="AR42" s="1378"/>
      <c r="AS42" s="1379"/>
      <c r="AT42" s="1183" t="s">
        <v>2114</v>
      </c>
      <c r="AU42" s="1184"/>
      <c r="AV42" s="1183" t="s">
        <v>2115</v>
      </c>
      <c r="AW42" s="1184"/>
      <c r="AX42" s="1183" t="s">
        <v>1714</v>
      </c>
      <c r="AY42" s="1369"/>
      <c r="AZ42" s="1184"/>
      <c r="BA42" s="1354"/>
      <c r="BB42" s="1357"/>
      <c r="BC42" s="1123"/>
    </row>
    <row r="43" spans="1:60" ht="14.25" customHeight="1">
      <c r="Q43" s="176"/>
      <c r="R43" s="36"/>
      <c r="S43" s="1349"/>
      <c r="T43" s="1213"/>
      <c r="U43" s="647"/>
      <c r="V43" s="1188"/>
      <c r="W43" s="1189"/>
      <c r="X43" s="1188"/>
      <c r="Y43" s="1189"/>
      <c r="Z43" s="1188"/>
      <c r="AA43" s="1370"/>
      <c r="AB43" s="1189"/>
      <c r="AC43" s="1354"/>
      <c r="AD43" s="1377"/>
      <c r="AE43" s="1378"/>
      <c r="AF43" s="1378"/>
      <c r="AG43" s="1379"/>
      <c r="AH43" s="1377"/>
      <c r="AI43" s="1378"/>
      <c r="AJ43" s="1378"/>
      <c r="AK43" s="1379"/>
      <c r="AL43" s="1377"/>
      <c r="AM43" s="1378"/>
      <c r="AN43" s="1378"/>
      <c r="AO43" s="1379"/>
      <c r="AP43" s="1377"/>
      <c r="AQ43" s="1378"/>
      <c r="AR43" s="1378"/>
      <c r="AS43" s="1379"/>
      <c r="AT43" s="1188"/>
      <c r="AU43" s="1189"/>
      <c r="AV43" s="1188"/>
      <c r="AW43" s="1189"/>
      <c r="AX43" s="1188"/>
      <c r="AY43" s="1370"/>
      <c r="AZ43" s="1189"/>
      <c r="BA43" s="1354"/>
      <c r="BB43" s="1357"/>
      <c r="BC43" s="1123"/>
    </row>
    <row r="44" spans="1:60" ht="14.25" customHeight="1">
      <c r="A44" s="91"/>
      <c r="B44" s="91" t="s">
        <v>136</v>
      </c>
      <c r="C44" s="91" t="s">
        <v>137</v>
      </c>
      <c r="D44" s="91" t="s">
        <v>138</v>
      </c>
      <c r="E44" s="823" t="s">
        <v>1499</v>
      </c>
      <c r="F44" s="823" t="s">
        <v>1500</v>
      </c>
      <c r="G44" s="823" t="s">
        <v>1501</v>
      </c>
      <c r="H44" s="823" t="s">
        <v>1502</v>
      </c>
      <c r="I44" s="823" t="s">
        <v>1503</v>
      </c>
      <c r="J44" s="823" t="s">
        <v>1504</v>
      </c>
      <c r="K44" s="823" t="s">
        <v>1505</v>
      </c>
      <c r="L44" s="823" t="s">
        <v>1480</v>
      </c>
      <c r="Q44" s="176"/>
      <c r="R44" s="36"/>
      <c r="S44" s="1349"/>
      <c r="T44" s="1213"/>
      <c r="U44" s="181"/>
      <c r="V44" s="45" t="s">
        <v>1551</v>
      </c>
      <c r="W44" s="45" t="s">
        <v>1552</v>
      </c>
      <c r="X44" s="45" t="s">
        <v>1551</v>
      </c>
      <c r="Y44" s="45" t="s">
        <v>1552</v>
      </c>
      <c r="Z44" s="48" t="s">
        <v>1508</v>
      </c>
      <c r="AA44" s="1219" t="s">
        <v>1509</v>
      </c>
      <c r="AB44" s="1233"/>
      <c r="AC44" s="1355"/>
      <c r="AD44" s="1380"/>
      <c r="AE44" s="1381"/>
      <c r="AF44" s="1381"/>
      <c r="AG44" s="1382"/>
      <c r="AH44" s="1380"/>
      <c r="AI44" s="1381"/>
      <c r="AJ44" s="1381"/>
      <c r="AK44" s="1382"/>
      <c r="AL44" s="1380"/>
      <c r="AM44" s="1381"/>
      <c r="AN44" s="1381"/>
      <c r="AO44" s="1382"/>
      <c r="AP44" s="1380"/>
      <c r="AQ44" s="1381"/>
      <c r="AR44" s="1381"/>
      <c r="AS44" s="1382"/>
      <c r="AT44" s="45" t="s">
        <v>1551</v>
      </c>
      <c r="AU44" s="45" t="s">
        <v>1552</v>
      </c>
      <c r="AV44" s="45" t="s">
        <v>1551</v>
      </c>
      <c r="AW44" s="45" t="s">
        <v>1552</v>
      </c>
      <c r="AX44" s="48" t="s">
        <v>1508</v>
      </c>
      <c r="AY44" s="1219" t="s">
        <v>1509</v>
      </c>
      <c r="AZ44" s="1233"/>
      <c r="BA44" s="1355"/>
      <c r="BB44" s="1358"/>
      <c r="BC44" s="1123"/>
    </row>
    <row r="45" spans="1:60" s="216" customFormat="1" ht="11.25" hidden="1" customHeight="1">
      <c r="A45" s="91"/>
      <c r="B45" s="91"/>
      <c r="C45" s="91"/>
      <c r="D45" s="91"/>
      <c r="E45" s="91"/>
      <c r="F45" s="91"/>
      <c r="G45" s="91"/>
      <c r="H45" s="91"/>
      <c r="I45" s="91"/>
      <c r="J45" s="91"/>
      <c r="K45" s="91"/>
      <c r="L45" s="823"/>
      <c r="M45" s="541"/>
      <c r="N45" s="541"/>
      <c r="O45" s="541"/>
      <c r="P45" s="235"/>
      <c r="Q45" s="777"/>
      <c r="R45" s="777">
        <v>1</v>
      </c>
      <c r="S45" s="795" t="s">
        <v>109</v>
      </c>
      <c r="T45" s="778" t="s">
        <v>110</v>
      </c>
      <c r="U45" s="767" t="str">
        <f ca="1">OFFSET(U45,0,-1)</f>
        <v>2</v>
      </c>
      <c r="V45" s="779">
        <f t="shared" ref="V45:AA45" ca="1" si="2">OFFSET(V45,0,-1)+1</f>
        <v>3</v>
      </c>
      <c r="W45" s="779">
        <f t="shared" ca="1" si="2"/>
        <v>4</v>
      </c>
      <c r="X45" s="779">
        <f t="shared" ca="1" si="2"/>
        <v>5</v>
      </c>
      <c r="Y45" s="779">
        <f t="shared" ca="1" si="2"/>
        <v>6</v>
      </c>
      <c r="Z45" s="779">
        <f t="shared" ca="1" si="2"/>
        <v>7</v>
      </c>
      <c r="AA45" s="1347">
        <f t="shared" ca="1" si="2"/>
        <v>8</v>
      </c>
      <c r="AB45" s="1347"/>
      <c r="AC45" s="779">
        <f ca="1">OFFSET(AC45,0,-2)+1</f>
        <v>9</v>
      </c>
      <c r="AD45" s="779">
        <f ca="1">OFFSET(AD45,0,-1)+1</f>
        <v>10</v>
      </c>
      <c r="AE45" s="779"/>
      <c r="AF45" s="779"/>
      <c r="AG45" s="779"/>
      <c r="AH45" s="779"/>
      <c r="AI45" s="779"/>
      <c r="AJ45" s="779"/>
      <c r="AK45" s="779"/>
      <c r="AL45" s="779"/>
      <c r="AM45" s="779"/>
      <c r="AN45" s="779"/>
      <c r="AO45" s="779"/>
      <c r="AP45" s="779"/>
      <c r="AQ45" s="779"/>
      <c r="AR45" s="779"/>
      <c r="AS45" s="779"/>
      <c r="AT45" s="779"/>
      <c r="AU45" s="779"/>
      <c r="AV45" s="779"/>
      <c r="AW45" s="779">
        <f ca="1">OFFSET(AW45,0,-1)+1</f>
        <v>1</v>
      </c>
      <c r="AX45" s="779">
        <f ca="1">OFFSET(AX45,0,-1)+1</f>
        <v>2</v>
      </c>
      <c r="AY45" s="1347">
        <f ca="1">OFFSET(AY45,0,-1)+1</f>
        <v>3</v>
      </c>
      <c r="AZ45" s="1347"/>
      <c r="BA45" s="779">
        <f ca="1">OFFSET(BA45,0,-2)+1</f>
        <v>4</v>
      </c>
      <c r="BB45" s="767">
        <f ca="1">OFFSET(BB45,0,-1)</f>
        <v>4</v>
      </c>
      <c r="BC45" s="779">
        <f ca="1">OFFSET(BC45,0,-1)+1</f>
        <v>5</v>
      </c>
      <c r="BD45" s="77"/>
      <c r="BE45" s="77"/>
      <c r="BF45" s="77"/>
      <c r="BG45" s="77"/>
      <c r="BH45" s="77"/>
    </row>
    <row r="46" spans="1:60" ht="21" customHeight="1">
      <c r="A46" s="822" t="s">
        <v>268</v>
      </c>
      <c r="B46" s="822"/>
      <c r="C46" s="822"/>
      <c r="D46" s="822"/>
      <c r="E46" s="1337">
        <v>1</v>
      </c>
      <c r="F46" s="822"/>
      <c r="G46" s="822"/>
      <c r="H46" s="822"/>
      <c r="I46" s="822"/>
      <c r="J46" s="822"/>
      <c r="K46" s="822"/>
      <c r="L46" s="823"/>
      <c r="M46" s="452"/>
      <c r="N46" s="452"/>
      <c r="O46" s="452"/>
      <c r="Q46" s="71"/>
      <c r="R46" s="220"/>
      <c r="S46" s="755">
        <f>INDEX(PT_DIFFERENTIATION_NUM_NTAR,MATCH(A46,PT_DIFFERENTIATION_NTAR_ID,0))</f>
        <v>0</v>
      </c>
      <c r="T46" s="76" t="s">
        <v>124</v>
      </c>
      <c r="U46" s="179"/>
      <c r="V46" s="1332"/>
      <c r="W46" s="1332"/>
      <c r="X46" s="1332"/>
      <c r="Y46" s="1332"/>
      <c r="Z46" s="1332"/>
      <c r="AA46" s="1332"/>
      <c r="AB46" s="1332"/>
      <c r="AC46" s="1333"/>
      <c r="AD46" s="1331" t="str">
        <f>INDEX(PT_DIFFERENTIATION_NTAR,MATCH(A46,PT_DIFFERENTIATION_NTAR_ID,0))</f>
        <v/>
      </c>
      <c r="AE46" s="1332"/>
      <c r="AF46" s="1332"/>
      <c r="AG46" s="1332"/>
      <c r="AH46" s="1332"/>
      <c r="AI46" s="1332"/>
      <c r="AJ46" s="1332"/>
      <c r="AK46" s="1332"/>
      <c r="AL46" s="1332"/>
      <c r="AM46" s="1332"/>
      <c r="AN46" s="1332"/>
      <c r="AO46" s="1332"/>
      <c r="AP46" s="1332"/>
      <c r="AQ46" s="1332"/>
      <c r="AR46" s="1332"/>
      <c r="AS46" s="1332"/>
      <c r="AT46" s="1332"/>
      <c r="AU46" s="1332"/>
      <c r="AV46" s="1332"/>
      <c r="AW46" s="1332"/>
      <c r="AX46" s="1332"/>
      <c r="AY46" s="1332"/>
      <c r="AZ46" s="1332"/>
      <c r="BA46" s="1332"/>
      <c r="BB46" s="1333"/>
      <c r="BC46" s="7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79"/>
      <c r="BF46" s="79" t="str">
        <f t="shared" ref="BF46:BF52" si="3">IF(T46="","",T46)</f>
        <v>Наименование тарифа</v>
      </c>
      <c r="BG46" s="79"/>
      <c r="BH46" s="79"/>
    </row>
    <row r="47" spans="1:60" ht="21" customHeight="1">
      <c r="A47" s="822" t="s">
        <v>268</v>
      </c>
      <c r="B47" s="822" t="s">
        <v>269</v>
      </c>
      <c r="C47" s="822"/>
      <c r="D47" s="822"/>
      <c r="E47" s="1338"/>
      <c r="F47" s="1337">
        <v>1</v>
      </c>
      <c r="G47" s="822"/>
      <c r="H47" s="822"/>
      <c r="I47" s="822"/>
      <c r="J47" s="822"/>
      <c r="K47" s="822"/>
      <c r="L47" s="823"/>
      <c r="M47" s="452"/>
      <c r="N47" s="452"/>
      <c r="O47" s="452"/>
      <c r="P47" s="388"/>
      <c r="Q47" s="845"/>
      <c r="R47" s="218"/>
      <c r="S47" s="755" t="str">
        <f>INDEX(PT_DIFFERENTIATION_NUM_TER,MATCH(B47,PT_DIFFERENTIATION_TER_ID,0))</f>
        <v>.</v>
      </c>
      <c r="T47" s="187" t="s">
        <v>1462</v>
      </c>
      <c r="U47" s="179"/>
      <c r="V47" s="1332"/>
      <c r="W47" s="1332"/>
      <c r="X47" s="1332"/>
      <c r="Y47" s="1332"/>
      <c r="Z47" s="1332"/>
      <c r="AA47" s="1332"/>
      <c r="AB47" s="1332"/>
      <c r="AC47" s="1333"/>
      <c r="AD47" s="1331" t="str">
        <f>INDEX(PT_DIFFERENTIATION_TER,MATCH(B47,PT_DIFFERENTIATION_TER_ID,0))</f>
        <v/>
      </c>
      <c r="AE47" s="1332"/>
      <c r="AF47" s="1332"/>
      <c r="AG47" s="1332"/>
      <c r="AH47" s="1332"/>
      <c r="AI47" s="1332"/>
      <c r="AJ47" s="1332"/>
      <c r="AK47" s="1332"/>
      <c r="AL47" s="1332"/>
      <c r="AM47" s="1332"/>
      <c r="AN47" s="1332"/>
      <c r="AO47" s="1332"/>
      <c r="AP47" s="1332"/>
      <c r="AQ47" s="1332"/>
      <c r="AR47" s="1332"/>
      <c r="AS47" s="1332"/>
      <c r="AT47" s="1332"/>
      <c r="AU47" s="1332"/>
      <c r="AV47" s="1332"/>
      <c r="AW47" s="1332"/>
      <c r="AX47" s="1332"/>
      <c r="AY47" s="1332"/>
      <c r="AZ47" s="1332"/>
      <c r="BA47" s="1332"/>
      <c r="BB47" s="1333"/>
      <c r="BC47" s="782" t="s">
        <v>1463</v>
      </c>
      <c r="BE47" s="79"/>
      <c r="BF47" s="79" t="str">
        <f t="shared" si="3"/>
        <v>Территория действия тарифа</v>
      </c>
      <c r="BG47" s="79"/>
      <c r="BH47" s="79"/>
    </row>
    <row r="48" spans="1:60" ht="33.75" customHeight="1">
      <c r="A48" s="822" t="s">
        <v>268</v>
      </c>
      <c r="B48" s="822" t="s">
        <v>269</v>
      </c>
      <c r="C48" s="822" t="s">
        <v>270</v>
      </c>
      <c r="D48" s="822"/>
      <c r="E48" s="1338"/>
      <c r="F48" s="1338"/>
      <c r="G48" s="1337">
        <v>1</v>
      </c>
      <c r="H48" s="822"/>
      <c r="I48" s="822"/>
      <c r="J48" s="822"/>
      <c r="K48" s="822"/>
      <c r="L48" s="823"/>
      <c r="M48" s="452"/>
      <c r="N48" s="452"/>
      <c r="O48" s="452"/>
      <c r="P48" s="136"/>
      <c r="Q48" s="845"/>
      <c r="R48" s="218"/>
      <c r="S48" s="755" t="str">
        <f>INDEX(PT_DIFFERENTIATION_NUM_CS,MATCH(C48,PT_DIFFERENTIATION_CS_ID,0))</f>
        <v>..</v>
      </c>
      <c r="T48" s="188" t="s">
        <v>2101</v>
      </c>
      <c r="U48" s="179"/>
      <c r="V48" s="1332"/>
      <c r="W48" s="1332"/>
      <c r="X48" s="1332"/>
      <c r="Y48" s="1332"/>
      <c r="Z48" s="1332"/>
      <c r="AA48" s="1332"/>
      <c r="AB48" s="1332"/>
      <c r="AC48" s="1333"/>
      <c r="AD48" s="1331" t="str">
        <f>INDEX(PT_DIFFERENTIATION_CS,MATCH(C48,PT_DIFFERENTIATION_CS_ID,0))</f>
        <v/>
      </c>
      <c r="AE48" s="1332"/>
      <c r="AF48" s="1332"/>
      <c r="AG48" s="1332"/>
      <c r="AH48" s="1332"/>
      <c r="AI48" s="1332"/>
      <c r="AJ48" s="1332"/>
      <c r="AK48" s="1332"/>
      <c r="AL48" s="1332"/>
      <c r="AM48" s="1332"/>
      <c r="AN48" s="1332"/>
      <c r="AO48" s="1332"/>
      <c r="AP48" s="1332"/>
      <c r="AQ48" s="1332"/>
      <c r="AR48" s="1332"/>
      <c r="AS48" s="1332"/>
      <c r="AT48" s="1332"/>
      <c r="AU48" s="1332"/>
      <c r="AV48" s="1332"/>
      <c r="AW48" s="1332"/>
      <c r="AX48" s="1332"/>
      <c r="AY48" s="1332"/>
      <c r="AZ48" s="1332"/>
      <c r="BA48" s="1332"/>
      <c r="BB48" s="1333"/>
      <c r="BC48" s="782" t="s">
        <v>2102</v>
      </c>
      <c r="BE48" s="79"/>
      <c r="BF48" s="79" t="str">
        <f t="shared" si="3"/>
        <v>Наименование централизованной системы водоотведения</v>
      </c>
      <c r="BG48" s="79"/>
      <c r="BH48" s="79"/>
    </row>
    <row r="49" spans="1:60" s="77" customFormat="1" ht="0" hidden="1" customHeight="1">
      <c r="A49" s="150" t="s">
        <v>268</v>
      </c>
      <c r="B49" s="150" t="s">
        <v>269</v>
      </c>
      <c r="C49" s="150" t="s">
        <v>270</v>
      </c>
      <c r="D49" s="150" t="s">
        <v>2116</v>
      </c>
      <c r="E49" s="1338"/>
      <c r="F49" s="1338"/>
      <c r="G49" s="1338"/>
      <c r="H49" s="1337">
        <v>1</v>
      </c>
      <c r="I49" s="150"/>
      <c r="J49" s="150"/>
      <c r="K49" s="150"/>
      <c r="L49" s="373"/>
      <c r="M49" s="318"/>
      <c r="N49" s="318"/>
      <c r="O49" s="318"/>
      <c r="P49" s="858"/>
      <c r="Q49" s="859"/>
      <c r="R49" s="222"/>
      <c r="S49" s="389"/>
      <c r="T49" s="860"/>
      <c r="U49" s="832"/>
      <c r="V49" s="1366"/>
      <c r="W49" s="1366"/>
      <c r="X49" s="1366"/>
      <c r="Y49" s="1366"/>
      <c r="Z49" s="1366"/>
      <c r="AA49" s="1366"/>
      <c r="AB49" s="1366"/>
      <c r="AC49" s="1367"/>
      <c r="AD49" s="1365"/>
      <c r="AE49" s="1366"/>
      <c r="AF49" s="1366"/>
      <c r="AG49" s="1366"/>
      <c r="AH49" s="1366"/>
      <c r="AI49" s="1366"/>
      <c r="AJ49" s="1366"/>
      <c r="AK49" s="1366"/>
      <c r="AL49" s="1366"/>
      <c r="AM49" s="1366"/>
      <c r="AN49" s="1366"/>
      <c r="AO49" s="1366"/>
      <c r="AP49" s="1366"/>
      <c r="AQ49" s="1366"/>
      <c r="AR49" s="1366"/>
      <c r="AS49" s="1366"/>
      <c r="AT49" s="1366"/>
      <c r="AU49" s="1366"/>
      <c r="AV49" s="1366"/>
      <c r="AW49" s="1366"/>
      <c r="AX49" s="1366"/>
      <c r="AY49" s="1366"/>
      <c r="AZ49" s="1366"/>
      <c r="BA49" s="1366"/>
      <c r="BB49" s="1367"/>
      <c r="BC49" s="833" t="s">
        <v>1467</v>
      </c>
      <c r="BE49" s="79"/>
      <c r="BF49" s="79" t="str">
        <f t="shared" si="3"/>
        <v/>
      </c>
      <c r="BG49" s="79"/>
      <c r="BH49" s="79"/>
    </row>
    <row r="50" spans="1:60" s="77" customFormat="1" ht="0" hidden="1" customHeight="1">
      <c r="A50" s="150" t="s">
        <v>268</v>
      </c>
      <c r="B50" s="150" t="s">
        <v>269</v>
      </c>
      <c r="C50" s="150" t="s">
        <v>270</v>
      </c>
      <c r="D50" s="150" t="s">
        <v>2116</v>
      </c>
      <c r="E50" s="1338"/>
      <c r="F50" s="1338"/>
      <c r="G50" s="1338"/>
      <c r="H50" s="1338"/>
      <c r="I50" s="1339" t="str">
        <f>S49&amp;".1"</f>
        <v>.1</v>
      </c>
      <c r="J50" s="150"/>
      <c r="K50" s="150"/>
      <c r="L50" s="373" t="s">
        <v>1468</v>
      </c>
      <c r="M50" s="235"/>
      <c r="N50" s="235"/>
      <c r="O50" s="235"/>
      <c r="P50" s="1259">
        <v>1</v>
      </c>
      <c r="Q50" s="127"/>
      <c r="R50" s="221"/>
      <c r="S50" s="389"/>
      <c r="T50" s="831"/>
      <c r="U50" s="832"/>
      <c r="V50" s="1366"/>
      <c r="W50" s="1366"/>
      <c r="X50" s="1366"/>
      <c r="Y50" s="1366"/>
      <c r="Z50" s="1366"/>
      <c r="AA50" s="1366"/>
      <c r="AB50" s="1366"/>
      <c r="AC50" s="1367"/>
      <c r="AD50" s="1365"/>
      <c r="AE50" s="1366"/>
      <c r="AF50" s="1366"/>
      <c r="AG50" s="1366"/>
      <c r="AH50" s="1366"/>
      <c r="AI50" s="1366"/>
      <c r="AJ50" s="1366"/>
      <c r="AK50" s="1366"/>
      <c r="AL50" s="1366"/>
      <c r="AM50" s="1366"/>
      <c r="AN50" s="1366"/>
      <c r="AO50" s="1366"/>
      <c r="AP50" s="1366"/>
      <c r="AQ50" s="1366"/>
      <c r="AR50" s="1366"/>
      <c r="AS50" s="1366"/>
      <c r="AT50" s="1366"/>
      <c r="AU50" s="1366"/>
      <c r="AV50" s="1366"/>
      <c r="AW50" s="1366"/>
      <c r="AX50" s="1366"/>
      <c r="AY50" s="1366"/>
      <c r="AZ50" s="1366"/>
      <c r="BA50" s="1366"/>
      <c r="BB50" s="1367"/>
      <c r="BC50" s="833"/>
      <c r="BE50" s="79"/>
      <c r="BF50" s="79" t="str">
        <f t="shared" si="3"/>
        <v/>
      </c>
      <c r="BG50" s="79"/>
      <c r="BH50" s="79"/>
    </row>
    <row r="51" spans="1:60" s="77" customFormat="1" ht="0" hidden="1" customHeight="1">
      <c r="A51" s="150" t="s">
        <v>268</v>
      </c>
      <c r="B51" s="150" t="s">
        <v>269</v>
      </c>
      <c r="C51" s="150" t="s">
        <v>270</v>
      </c>
      <c r="D51" s="150" t="s">
        <v>2116</v>
      </c>
      <c r="E51" s="1338"/>
      <c r="F51" s="1338"/>
      <c r="G51" s="1338"/>
      <c r="H51" s="1338"/>
      <c r="I51" s="1340"/>
      <c r="J51" s="1339" t="str">
        <f>S49&amp;".1"</f>
        <v>.1</v>
      </c>
      <c r="K51" s="150"/>
      <c r="L51" s="373"/>
      <c r="M51" s="235"/>
      <c r="N51" s="235"/>
      <c r="O51" s="235"/>
      <c r="P51" s="1259"/>
      <c r="Q51" s="1259">
        <v>1</v>
      </c>
      <c r="R51" s="222"/>
      <c r="S51" s="389"/>
      <c r="T51" s="840"/>
      <c r="U51" s="832"/>
      <c r="V51" s="1366"/>
      <c r="W51" s="1366"/>
      <c r="X51" s="1366"/>
      <c r="Y51" s="1366"/>
      <c r="Z51" s="1366"/>
      <c r="AA51" s="1366"/>
      <c r="AB51" s="1366"/>
      <c r="AC51" s="1367"/>
      <c r="AD51" s="1365"/>
      <c r="AE51" s="1366"/>
      <c r="AF51" s="1366"/>
      <c r="AG51" s="1366"/>
      <c r="AH51" s="1366"/>
      <c r="AI51" s="1366"/>
      <c r="AJ51" s="1366"/>
      <c r="AK51" s="1366"/>
      <c r="AL51" s="1366"/>
      <c r="AM51" s="1366"/>
      <c r="AN51" s="1444"/>
      <c r="AO51" s="1444"/>
      <c r="AP51" s="1366"/>
      <c r="AQ51" s="1366"/>
      <c r="AR51" s="1366"/>
      <c r="AS51" s="1366"/>
      <c r="AT51" s="1366"/>
      <c r="AU51" s="1366"/>
      <c r="AV51" s="1366"/>
      <c r="AW51" s="1366"/>
      <c r="AX51" s="1366"/>
      <c r="AY51" s="1366"/>
      <c r="AZ51" s="1366"/>
      <c r="BA51" s="1366"/>
      <c r="BB51" s="1367"/>
      <c r="BC51" s="833"/>
      <c r="BE51" s="79"/>
      <c r="BF51" s="79" t="str">
        <f t="shared" si="3"/>
        <v/>
      </c>
      <c r="BG51" s="79"/>
      <c r="BH51" s="79"/>
    </row>
    <row r="52" spans="1:60" ht="11.25" customHeight="1">
      <c r="A52" s="822" t="s">
        <v>268</v>
      </c>
      <c r="B52" s="822" t="s">
        <v>269</v>
      </c>
      <c r="C52" s="822" t="s">
        <v>270</v>
      </c>
      <c r="D52" s="822" t="s">
        <v>2116</v>
      </c>
      <c r="E52" s="1338"/>
      <c r="F52" s="1338"/>
      <c r="G52" s="1338"/>
      <c r="H52" s="1338"/>
      <c r="I52" s="1340"/>
      <c r="J52" s="1340"/>
      <c r="K52" s="1339" t="str">
        <f>S48&amp;".1"</f>
        <v>...1</v>
      </c>
      <c r="L52" s="823"/>
      <c r="P52" s="1259"/>
      <c r="Q52" s="1259"/>
      <c r="R52" s="222">
        <v>1</v>
      </c>
      <c r="S52" s="1388" t="str">
        <f>$K52</f>
        <v>...1</v>
      </c>
      <c r="T52" s="1438"/>
      <c r="U52" s="179"/>
      <c r="V52" s="1054"/>
      <c r="W52" s="1056"/>
      <c r="X52" s="1054"/>
      <c r="Y52" s="1056"/>
      <c r="Z52" s="990"/>
      <c r="AA52" s="322" t="s">
        <v>67</v>
      </c>
      <c r="AB52" s="990"/>
      <c r="AC52" s="322" t="s">
        <v>67</v>
      </c>
      <c r="AD52" s="1195" t="s">
        <v>67</v>
      </c>
      <c r="AE52" s="1384"/>
      <c r="AF52" s="1383">
        <v>1</v>
      </c>
      <c r="AG52" s="1437"/>
      <c r="AH52" s="1133" t="s">
        <v>67</v>
      </c>
      <c r="AI52" s="1384"/>
      <c r="AJ52" s="1383">
        <v>1</v>
      </c>
      <c r="AK52" s="1436" t="s">
        <v>17</v>
      </c>
      <c r="AL52" s="1133" t="s">
        <v>67</v>
      </c>
      <c r="AM52" s="1183"/>
      <c r="AN52" s="1383">
        <v>1</v>
      </c>
      <c r="AO52" s="1441"/>
      <c r="AP52" s="1442" t="s">
        <v>67</v>
      </c>
      <c r="AQ52" s="190"/>
      <c r="AR52" s="820">
        <v>1</v>
      </c>
      <c r="AS52" s="165" t="s">
        <v>17</v>
      </c>
      <c r="AT52" s="1054"/>
      <c r="AU52" s="1056"/>
      <c r="AV52" s="1054"/>
      <c r="AW52" s="1056"/>
      <c r="AX52" s="990"/>
      <c r="AY52" s="322" t="s">
        <v>67</v>
      </c>
      <c r="AZ52" s="990"/>
      <c r="BA52" s="322" t="s">
        <v>67</v>
      </c>
      <c r="BB52" s="1060"/>
      <c r="BC52" s="1359" t="s">
        <v>1701</v>
      </c>
      <c r="BE52" s="79"/>
      <c r="BF52" s="79" t="str">
        <f t="shared" si="3"/>
        <v/>
      </c>
      <c r="BG52" s="79"/>
      <c r="BH52" s="79"/>
    </row>
    <row r="53" spans="1:60" ht="11.25" customHeight="1">
      <c r="A53" s="822"/>
      <c r="B53" s="822"/>
      <c r="C53" s="822"/>
      <c r="D53" s="822"/>
      <c r="E53" s="1338"/>
      <c r="F53" s="1338"/>
      <c r="G53" s="1338"/>
      <c r="H53" s="1338"/>
      <c r="I53" s="1340"/>
      <c r="J53" s="1340"/>
      <c r="K53" s="1339"/>
      <c r="L53" s="823"/>
      <c r="P53" s="1259"/>
      <c r="Q53" s="1259"/>
      <c r="R53" s="222"/>
      <c r="S53" s="1389"/>
      <c r="T53" s="1439"/>
      <c r="U53" s="179"/>
      <c r="V53" s="1067"/>
      <c r="W53" s="1071"/>
      <c r="X53" s="1067"/>
      <c r="Y53" s="1071"/>
      <c r="Z53" s="1067"/>
      <c r="AA53" s="1067"/>
      <c r="AB53" s="1067"/>
      <c r="AC53" s="1067"/>
      <c r="AD53" s="1196"/>
      <c r="AE53" s="1384"/>
      <c r="AF53" s="1383"/>
      <c r="AG53" s="1437"/>
      <c r="AH53" s="1133"/>
      <c r="AI53" s="1384"/>
      <c r="AJ53" s="1383"/>
      <c r="AK53" s="1436"/>
      <c r="AL53" s="1133"/>
      <c r="AM53" s="1188"/>
      <c r="AN53" s="1383"/>
      <c r="AO53" s="1441"/>
      <c r="AP53" s="1443"/>
      <c r="AQ53" s="195"/>
      <c r="AR53" s="62"/>
      <c r="AS53" s="62" t="s">
        <v>1702</v>
      </c>
      <c r="AT53" s="1067"/>
      <c r="AU53" s="1071"/>
      <c r="AV53" s="1067"/>
      <c r="AW53" s="1071"/>
      <c r="AX53" s="1067"/>
      <c r="AY53" s="1067"/>
      <c r="AZ53" s="1067"/>
      <c r="BA53" s="1067"/>
      <c r="BB53" s="1070"/>
      <c r="BC53" s="1360"/>
      <c r="BE53" s="79"/>
      <c r="BF53" s="79"/>
      <c r="BG53" s="79"/>
      <c r="BH53" s="79"/>
    </row>
    <row r="54" spans="1:60" ht="11.25" customHeight="1">
      <c r="A54" s="822" t="s">
        <v>268</v>
      </c>
      <c r="B54" s="822"/>
      <c r="C54" s="822"/>
      <c r="D54" s="822"/>
      <c r="E54" s="1338"/>
      <c r="F54" s="1338"/>
      <c r="G54" s="1338"/>
      <c r="H54" s="1338"/>
      <c r="I54" s="1340"/>
      <c r="J54" s="1340"/>
      <c r="K54" s="1339"/>
      <c r="L54" s="823"/>
      <c r="P54" s="1259"/>
      <c r="Q54" s="1259"/>
      <c r="R54" s="222"/>
      <c r="S54" s="1389"/>
      <c r="T54" s="1439"/>
      <c r="U54" s="179"/>
      <c r="V54" s="1067"/>
      <c r="W54" s="1071"/>
      <c r="X54" s="1067"/>
      <c r="Y54" s="1071"/>
      <c r="Z54" s="1067"/>
      <c r="AA54" s="1067"/>
      <c r="AB54" s="1067"/>
      <c r="AC54" s="1067"/>
      <c r="AD54" s="1196"/>
      <c r="AE54" s="1384"/>
      <c r="AF54" s="1383"/>
      <c r="AG54" s="1437"/>
      <c r="AH54" s="1133"/>
      <c r="AI54" s="1384"/>
      <c r="AJ54" s="1383"/>
      <c r="AK54" s="1436"/>
      <c r="AL54" s="1133"/>
      <c r="AM54" s="195"/>
      <c r="AN54" s="861"/>
      <c r="AO54" s="861" t="s">
        <v>2109</v>
      </c>
      <c r="AP54" s="62"/>
      <c r="AQ54" s="62"/>
      <c r="AR54" s="62"/>
      <c r="AS54" s="1067"/>
      <c r="AT54" s="1067"/>
      <c r="AU54" s="1071"/>
      <c r="AV54" s="1067"/>
      <c r="AW54" s="1071"/>
      <c r="AX54" s="1067"/>
      <c r="AY54" s="1067"/>
      <c r="AZ54" s="1067"/>
      <c r="BA54" s="1067"/>
      <c r="BB54" s="1070"/>
      <c r="BC54" s="1360"/>
      <c r="BE54" s="79"/>
      <c r="BF54" s="79"/>
      <c r="BG54" s="79"/>
      <c r="BH54" s="79"/>
    </row>
    <row r="55" spans="1:60" ht="11.25" customHeight="1">
      <c r="A55" s="822" t="s">
        <v>268</v>
      </c>
      <c r="B55" s="822"/>
      <c r="C55" s="822"/>
      <c r="D55" s="822"/>
      <c r="E55" s="1338"/>
      <c r="F55" s="1338"/>
      <c r="G55" s="1338"/>
      <c r="H55" s="1338"/>
      <c r="I55" s="1340"/>
      <c r="J55" s="1340"/>
      <c r="K55" s="1339"/>
      <c r="L55" s="823"/>
      <c r="P55" s="1259"/>
      <c r="Q55" s="1259"/>
      <c r="R55" s="222"/>
      <c r="S55" s="1389"/>
      <c r="T55" s="1439"/>
      <c r="U55" s="179"/>
      <c r="V55" s="1067"/>
      <c r="W55" s="1071"/>
      <c r="X55" s="1067"/>
      <c r="Y55" s="1071"/>
      <c r="Z55" s="1067"/>
      <c r="AA55" s="1067"/>
      <c r="AB55" s="1067"/>
      <c r="AC55" s="1067"/>
      <c r="AD55" s="1196"/>
      <c r="AE55" s="1384"/>
      <c r="AF55" s="1383"/>
      <c r="AG55" s="1437"/>
      <c r="AH55" s="1133"/>
      <c r="AI55" s="177"/>
      <c r="AJ55" s="116"/>
      <c r="AK55" s="192" t="s">
        <v>2110</v>
      </c>
      <c r="AL55" s="1067"/>
      <c r="AM55" s="1067"/>
      <c r="AN55" s="1067"/>
      <c r="AO55" s="1067"/>
      <c r="AP55" s="1067"/>
      <c r="AQ55" s="1067"/>
      <c r="AR55" s="1067"/>
      <c r="AS55" s="1067"/>
      <c r="AT55" s="1067"/>
      <c r="AU55" s="1071"/>
      <c r="AV55" s="1067"/>
      <c r="AW55" s="1071"/>
      <c r="AX55" s="1067"/>
      <c r="AY55" s="1067"/>
      <c r="AZ55" s="1067"/>
      <c r="BA55" s="1067"/>
      <c r="BB55" s="1070"/>
      <c r="BC55" s="1360"/>
      <c r="BE55" s="79"/>
      <c r="BF55" s="79"/>
      <c r="BG55" s="79"/>
      <c r="BH55" s="79"/>
    </row>
    <row r="56" spans="1:60" ht="11.25" customHeight="1">
      <c r="A56" s="822" t="s">
        <v>268</v>
      </c>
      <c r="B56" s="822" t="s">
        <v>269</v>
      </c>
      <c r="C56" s="822" t="s">
        <v>270</v>
      </c>
      <c r="D56" s="822" t="s">
        <v>2116</v>
      </c>
      <c r="E56" s="1338"/>
      <c r="F56" s="1338"/>
      <c r="G56" s="1338"/>
      <c r="H56" s="1338"/>
      <c r="I56" s="1340"/>
      <c r="J56" s="1340"/>
      <c r="K56" s="1339"/>
      <c r="L56" s="823"/>
      <c r="P56" s="1259"/>
      <c r="Q56" s="1259"/>
      <c r="R56" s="222"/>
      <c r="S56" s="1390"/>
      <c r="T56" s="1440"/>
      <c r="U56" s="179"/>
      <c r="V56" s="1067"/>
      <c r="W56" s="1068" t="str">
        <f>Z52&amp;"-"&amp;AB52</f>
        <v>-</v>
      </c>
      <c r="X56" s="1067"/>
      <c r="Y56" s="1068" t="str">
        <f>AB52&amp;"-"&amp;AD52</f>
        <v>-да</v>
      </c>
      <c r="Z56" s="1067"/>
      <c r="AA56" s="1067"/>
      <c r="AB56" s="1067"/>
      <c r="AC56" s="1067"/>
      <c r="AD56" s="1138"/>
      <c r="AE56" s="191"/>
      <c r="AF56" s="193"/>
      <c r="AG56" s="62" t="s">
        <v>1705</v>
      </c>
      <c r="AH56" s="1067"/>
      <c r="AI56" s="1067"/>
      <c r="AJ56" s="1067"/>
      <c r="AK56" s="1067"/>
      <c r="AL56" s="1067"/>
      <c r="AM56" s="1067"/>
      <c r="AN56" s="1067"/>
      <c r="AO56" s="1067"/>
      <c r="AP56" s="1067"/>
      <c r="AQ56" s="1067"/>
      <c r="AR56" s="1067"/>
      <c r="AS56" s="1067"/>
      <c r="AT56" s="1067"/>
      <c r="AU56" s="1068" t="str">
        <f>AX52&amp;"-"&amp;AZ52</f>
        <v>-</v>
      </c>
      <c r="AV56" s="1067"/>
      <c r="AW56" s="1068" t="str">
        <f>AZ52&amp;"-"&amp;BB52</f>
        <v>-</v>
      </c>
      <c r="AX56" s="1067"/>
      <c r="AY56" s="1067"/>
      <c r="AZ56" s="1067"/>
      <c r="BA56" s="1067"/>
      <c r="BB56" s="1073" t="str">
        <f>BE52&amp;"-"&amp;BG52</f>
        <v>-</v>
      </c>
      <c r="BC56" s="1360"/>
      <c r="BE56" s="79"/>
      <c r="BF56" s="79" t="str">
        <f t="shared" ref="BF56:BF63" si="4">IF(T56="","",T56)</f>
        <v/>
      </c>
      <c r="BG56" s="79"/>
      <c r="BH56" s="79"/>
    </row>
    <row r="57" spans="1:60" ht="11.25" customHeight="1">
      <c r="A57" s="822" t="s">
        <v>268</v>
      </c>
      <c r="B57" s="822" t="s">
        <v>269</v>
      </c>
      <c r="C57" s="822" t="s">
        <v>270</v>
      </c>
      <c r="D57" s="822" t="s">
        <v>2116</v>
      </c>
      <c r="E57" s="1338"/>
      <c r="F57" s="1338"/>
      <c r="G57" s="1338"/>
      <c r="H57" s="1338"/>
      <c r="I57" s="1340"/>
      <c r="J57" s="1339"/>
      <c r="K57" s="822"/>
      <c r="L57" s="823"/>
      <c r="P57" s="1259"/>
      <c r="Q57" s="1259"/>
      <c r="R57" s="221"/>
      <c r="S57" s="796"/>
      <c r="T57" s="174" t="s">
        <v>1542</v>
      </c>
      <c r="U57" s="228"/>
      <c r="V57" s="228"/>
      <c r="W57" s="228"/>
      <c r="X57" s="228"/>
      <c r="Y57" s="228"/>
      <c r="Z57" s="228"/>
      <c r="AA57" s="228"/>
      <c r="AB57" s="228"/>
      <c r="AC57" s="204"/>
      <c r="AD57" s="865"/>
      <c r="AE57" s="228"/>
      <c r="AF57" s="228"/>
      <c r="AG57" s="228"/>
      <c r="AH57" s="228"/>
      <c r="AI57" s="228"/>
      <c r="AJ57" s="228"/>
      <c r="AK57" s="228"/>
      <c r="AL57" s="228"/>
      <c r="AM57" s="228"/>
      <c r="AN57" s="228"/>
      <c r="AO57" s="228"/>
      <c r="AP57" s="228"/>
      <c r="AQ57" s="228"/>
      <c r="AR57" s="228"/>
      <c r="AS57" s="228"/>
      <c r="AT57" s="228"/>
      <c r="AU57" s="228"/>
      <c r="AV57" s="228"/>
      <c r="AW57" s="228"/>
      <c r="AX57" s="228"/>
      <c r="AY57" s="228"/>
      <c r="AZ57" s="228"/>
      <c r="BA57" s="228"/>
      <c r="BB57" s="204"/>
      <c r="BC57" s="1361"/>
      <c r="BE57" s="79"/>
      <c r="BF57" s="79" t="str">
        <f t="shared" si="4"/>
        <v>Добавить строку</v>
      </c>
      <c r="BG57" s="79"/>
      <c r="BH57" s="79"/>
    </row>
    <row r="58" spans="1:60" s="77" customFormat="1" ht="0" hidden="1" customHeight="1">
      <c r="A58" s="150" t="s">
        <v>268</v>
      </c>
      <c r="B58" s="150" t="s">
        <v>269</v>
      </c>
      <c r="C58" s="150" t="s">
        <v>270</v>
      </c>
      <c r="D58" s="150" t="s">
        <v>2116</v>
      </c>
      <c r="E58" s="1338"/>
      <c r="F58" s="1338"/>
      <c r="G58" s="1338"/>
      <c r="H58" s="1338"/>
      <c r="I58" s="1339"/>
      <c r="J58" s="150"/>
      <c r="K58" s="150"/>
      <c r="L58" s="373"/>
      <c r="M58" s="235"/>
      <c r="N58" s="235"/>
      <c r="O58" s="235"/>
      <c r="P58" s="1259"/>
      <c r="Q58" s="127"/>
      <c r="R58" s="221"/>
      <c r="S58" s="834"/>
      <c r="T58" s="835"/>
      <c r="U58" s="836"/>
      <c r="V58" s="836"/>
      <c r="W58" s="836"/>
      <c r="X58" s="836"/>
      <c r="Y58" s="836"/>
      <c r="Z58" s="836"/>
      <c r="AA58" s="836"/>
      <c r="AB58" s="836"/>
      <c r="AC58" s="836"/>
      <c r="AD58" s="836"/>
      <c r="AE58" s="836"/>
      <c r="AF58" s="836"/>
      <c r="AG58" s="836"/>
      <c r="AH58" s="836"/>
      <c r="AI58" s="836"/>
      <c r="AJ58" s="836"/>
      <c r="AK58" s="836"/>
      <c r="AL58" s="836"/>
      <c r="AM58" s="836"/>
      <c r="AN58" s="836"/>
      <c r="AO58" s="836"/>
      <c r="AP58" s="836"/>
      <c r="AQ58" s="836"/>
      <c r="AR58" s="836"/>
      <c r="AS58" s="836"/>
      <c r="AT58" s="836"/>
      <c r="AU58" s="836"/>
      <c r="AV58" s="836"/>
      <c r="AW58" s="836"/>
      <c r="AX58" s="836"/>
      <c r="AY58" s="836"/>
      <c r="AZ58" s="836"/>
      <c r="BA58" s="836"/>
      <c r="BB58" s="836"/>
      <c r="BC58" s="837"/>
      <c r="BE58" s="79"/>
      <c r="BF58" s="79" t="str">
        <f t="shared" si="4"/>
        <v/>
      </c>
      <c r="BG58" s="79"/>
      <c r="BH58" s="79"/>
    </row>
    <row r="59" spans="1:60" s="77" customFormat="1" ht="0" hidden="1" customHeight="1">
      <c r="A59" s="150" t="s">
        <v>268</v>
      </c>
      <c r="B59" s="150" t="s">
        <v>269</v>
      </c>
      <c r="C59" s="150" t="s">
        <v>270</v>
      </c>
      <c r="D59" s="150" t="s">
        <v>2116</v>
      </c>
      <c r="E59" s="1338"/>
      <c r="F59" s="1338"/>
      <c r="G59" s="1338"/>
      <c r="H59" s="1337"/>
      <c r="I59" s="150"/>
      <c r="J59" s="150"/>
      <c r="K59" s="150"/>
      <c r="L59" s="373"/>
      <c r="M59" s="318"/>
      <c r="N59" s="318"/>
      <c r="P59" s="111"/>
      <c r="Q59" s="811"/>
      <c r="R59" s="842"/>
      <c r="S59" s="834"/>
      <c r="T59" s="835"/>
      <c r="U59" s="836"/>
      <c r="V59" s="836"/>
      <c r="W59" s="836"/>
      <c r="X59" s="836"/>
      <c r="Y59" s="836"/>
      <c r="Z59" s="836"/>
      <c r="AA59" s="836"/>
      <c r="AB59" s="836"/>
      <c r="AC59" s="836"/>
      <c r="AD59" s="836"/>
      <c r="AE59" s="836"/>
      <c r="AF59" s="836"/>
      <c r="AG59" s="836"/>
      <c r="AH59" s="836"/>
      <c r="AI59" s="836"/>
      <c r="AJ59" s="836"/>
      <c r="AK59" s="836"/>
      <c r="AL59" s="836"/>
      <c r="AM59" s="836"/>
      <c r="AN59" s="836"/>
      <c r="AO59" s="836"/>
      <c r="AP59" s="836"/>
      <c r="AQ59" s="836"/>
      <c r="AR59" s="836"/>
      <c r="AS59" s="836"/>
      <c r="AT59" s="836"/>
      <c r="AU59" s="836"/>
      <c r="AV59" s="836"/>
      <c r="AW59" s="836"/>
      <c r="AX59" s="836"/>
      <c r="AY59" s="836"/>
      <c r="AZ59" s="836"/>
      <c r="BA59" s="836"/>
      <c r="BB59" s="836"/>
      <c r="BC59" s="837"/>
      <c r="BE59" s="79"/>
      <c r="BF59" s="79" t="str">
        <f t="shared" si="4"/>
        <v/>
      </c>
      <c r="BG59" s="79"/>
      <c r="BH59" s="79"/>
    </row>
    <row r="60" spans="1:60" s="77" customFormat="1" ht="0" hidden="1" customHeight="1">
      <c r="A60" s="150" t="s">
        <v>268</v>
      </c>
      <c r="B60" s="150" t="s">
        <v>269</v>
      </c>
      <c r="C60" s="150" t="s">
        <v>270</v>
      </c>
      <c r="D60" s="150"/>
      <c r="E60" s="1338"/>
      <c r="F60" s="1338"/>
      <c r="G60" s="1337"/>
      <c r="H60" s="150"/>
      <c r="I60" s="150"/>
      <c r="J60" s="150"/>
      <c r="K60" s="150"/>
      <c r="L60" s="373"/>
      <c r="M60" s="318"/>
      <c r="N60" s="318"/>
      <c r="P60" s="111"/>
      <c r="Q60" s="811"/>
      <c r="R60" s="111"/>
      <c r="S60" s="816"/>
      <c r="T60" s="818"/>
      <c r="U60" s="338"/>
      <c r="V60" s="338"/>
      <c r="W60" s="338"/>
      <c r="X60" s="338"/>
      <c r="Y60" s="338"/>
      <c r="Z60" s="338"/>
      <c r="AA60" s="338"/>
      <c r="AB60" s="338"/>
      <c r="AC60" s="338"/>
      <c r="AD60" s="338"/>
      <c r="AE60" s="338"/>
      <c r="AF60" s="338"/>
      <c r="AG60" s="338"/>
      <c r="AH60" s="338"/>
      <c r="AI60" s="338"/>
      <c r="AJ60" s="338"/>
      <c r="AK60" s="338"/>
      <c r="AL60" s="338"/>
      <c r="AM60" s="338"/>
      <c r="AN60" s="338"/>
      <c r="AO60" s="338"/>
      <c r="AP60" s="338"/>
      <c r="AQ60" s="338"/>
      <c r="AR60" s="338"/>
      <c r="AS60" s="338"/>
      <c r="AT60" s="338"/>
      <c r="AU60" s="338"/>
      <c r="AV60" s="338"/>
      <c r="AW60" s="338"/>
      <c r="AX60" s="338"/>
      <c r="AY60" s="338"/>
      <c r="AZ60" s="338"/>
      <c r="BA60" s="338"/>
      <c r="BB60" s="338"/>
      <c r="BC60" s="338"/>
      <c r="BE60" s="79"/>
      <c r="BF60" s="79" t="str">
        <f t="shared" si="4"/>
        <v/>
      </c>
      <c r="BG60" s="79"/>
      <c r="BH60" s="79"/>
    </row>
    <row r="61" spans="1:60" s="77" customFormat="1" ht="0" hidden="1" customHeight="1">
      <c r="A61" s="150" t="s">
        <v>268</v>
      </c>
      <c r="B61" s="150" t="s">
        <v>269</v>
      </c>
      <c r="C61" s="150"/>
      <c r="D61" s="150"/>
      <c r="E61" s="1338"/>
      <c r="F61" s="1337"/>
      <c r="G61" s="150"/>
      <c r="H61" s="150"/>
      <c r="I61" s="150"/>
      <c r="J61" s="150"/>
      <c r="K61" s="150"/>
      <c r="L61" s="373"/>
      <c r="M61" s="815"/>
      <c r="N61" s="815"/>
      <c r="P61" s="111"/>
      <c r="Q61" s="811"/>
      <c r="R61" s="111"/>
      <c r="S61" s="816"/>
      <c r="T61" s="818" t="s">
        <v>1438</v>
      </c>
      <c r="U61" s="338"/>
      <c r="V61" s="338"/>
      <c r="W61" s="338"/>
      <c r="X61" s="338"/>
      <c r="Y61" s="338"/>
      <c r="Z61" s="338"/>
      <c r="AA61" s="338"/>
      <c r="AB61" s="338"/>
      <c r="AC61" s="338"/>
      <c r="AD61" s="338"/>
      <c r="AE61" s="338"/>
      <c r="AF61" s="338"/>
      <c r="AG61" s="338"/>
      <c r="AH61" s="338"/>
      <c r="AI61" s="338"/>
      <c r="AJ61" s="338"/>
      <c r="AK61" s="338"/>
      <c r="AL61" s="338"/>
      <c r="AM61" s="338"/>
      <c r="AN61" s="338"/>
      <c r="AO61" s="338"/>
      <c r="AP61" s="338"/>
      <c r="AQ61" s="338"/>
      <c r="AR61" s="338"/>
      <c r="AS61" s="338"/>
      <c r="AT61" s="338"/>
      <c r="AU61" s="338"/>
      <c r="AV61" s="338"/>
      <c r="AW61" s="338"/>
      <c r="AX61" s="338"/>
      <c r="AY61" s="338"/>
      <c r="AZ61" s="338"/>
      <c r="BA61" s="338"/>
      <c r="BB61" s="338"/>
      <c r="BC61" s="338"/>
      <c r="BE61" s="79"/>
      <c r="BF61" s="79" t="str">
        <f t="shared" si="4"/>
        <v>Добавить централизованную систему для дифференциации</v>
      </c>
      <c r="BG61" s="79"/>
      <c r="BH61" s="79"/>
    </row>
    <row r="62" spans="1:60" s="77" customFormat="1" ht="0" hidden="1" customHeight="1">
      <c r="A62" s="150" t="s">
        <v>268</v>
      </c>
      <c r="B62" s="150"/>
      <c r="C62" s="150"/>
      <c r="D62" s="150"/>
      <c r="E62" s="1337"/>
      <c r="F62" s="150"/>
      <c r="G62" s="150"/>
      <c r="H62" s="150"/>
      <c r="I62" s="150"/>
      <c r="J62" s="150"/>
      <c r="K62" s="150"/>
      <c r="L62" s="373"/>
      <c r="M62" s="815"/>
      <c r="N62" s="815"/>
      <c r="P62" s="111"/>
      <c r="Q62" s="811"/>
      <c r="R62" s="111"/>
      <c r="S62" s="816"/>
      <c r="T62" s="818" t="s">
        <v>1439</v>
      </c>
      <c r="U62" s="338"/>
      <c r="V62" s="338"/>
      <c r="W62" s="338"/>
      <c r="X62" s="338"/>
      <c r="Y62" s="338"/>
      <c r="Z62" s="338"/>
      <c r="AA62" s="338"/>
      <c r="AB62" s="338"/>
      <c r="AC62" s="338"/>
      <c r="AD62" s="338"/>
      <c r="AE62" s="338"/>
      <c r="AF62" s="338"/>
      <c r="AG62" s="338"/>
      <c r="AH62" s="338"/>
      <c r="AI62" s="338"/>
      <c r="AJ62" s="338"/>
      <c r="AK62" s="338"/>
      <c r="AL62" s="338"/>
      <c r="AM62" s="338"/>
      <c r="AN62" s="338"/>
      <c r="AO62" s="338"/>
      <c r="AP62" s="338"/>
      <c r="AQ62" s="338"/>
      <c r="AR62" s="338"/>
      <c r="AS62" s="338"/>
      <c r="AT62" s="338"/>
      <c r="AU62" s="338"/>
      <c r="AV62" s="338"/>
      <c r="AW62" s="338"/>
      <c r="AX62" s="338"/>
      <c r="AY62" s="338"/>
      <c r="AZ62" s="338"/>
      <c r="BA62" s="338"/>
      <c r="BB62" s="338"/>
      <c r="BC62" s="338"/>
      <c r="BE62" s="79"/>
      <c r="BF62" s="79" t="str">
        <f t="shared" si="4"/>
        <v>Добавить территорию для дифференциации</v>
      </c>
      <c r="BG62" s="79"/>
      <c r="BH62" s="79"/>
    </row>
    <row r="63" spans="1:60" s="77" customFormat="1" ht="0" hidden="1" customHeight="1">
      <c r="A63" s="150"/>
      <c r="B63" s="150"/>
      <c r="C63" s="150"/>
      <c r="D63" s="150"/>
      <c r="E63" s="150"/>
      <c r="F63" s="150"/>
      <c r="G63" s="150"/>
      <c r="H63" s="150"/>
      <c r="I63" s="150"/>
      <c r="J63" s="150"/>
      <c r="K63" s="150"/>
      <c r="L63" s="373"/>
      <c r="M63" s="815"/>
      <c r="N63" s="815"/>
      <c r="P63" s="111"/>
      <c r="Q63" s="811"/>
      <c r="R63" s="111"/>
      <c r="S63" s="816"/>
      <c r="T63" s="818" t="s">
        <v>1440</v>
      </c>
      <c r="U63" s="338"/>
      <c r="V63" s="338"/>
      <c r="W63" s="338"/>
      <c r="X63" s="338"/>
      <c r="Y63" s="338"/>
      <c r="Z63" s="338"/>
      <c r="AA63" s="338"/>
      <c r="AB63" s="338"/>
      <c r="AC63" s="338"/>
      <c r="AD63" s="338"/>
      <c r="AE63" s="338"/>
      <c r="AF63" s="338"/>
      <c r="AG63" s="338"/>
      <c r="AH63" s="338"/>
      <c r="AI63" s="338"/>
      <c r="AJ63" s="338"/>
      <c r="AK63" s="338"/>
      <c r="AL63" s="338"/>
      <c r="AM63" s="338"/>
      <c r="AN63" s="338"/>
      <c r="AO63" s="338"/>
      <c r="AP63" s="338"/>
      <c r="AQ63" s="338"/>
      <c r="AR63" s="338"/>
      <c r="AS63" s="338"/>
      <c r="AT63" s="338"/>
      <c r="AU63" s="338"/>
      <c r="AV63" s="338"/>
      <c r="AW63" s="338"/>
      <c r="AX63" s="338"/>
      <c r="AY63" s="338"/>
      <c r="AZ63" s="338"/>
      <c r="BA63" s="338"/>
      <c r="BB63" s="338"/>
      <c r="BC63" s="338"/>
      <c r="BE63" s="79"/>
      <c r="BF63" s="79" t="str">
        <f t="shared" si="4"/>
        <v>Добавить наименование тарифа</v>
      </c>
      <c r="BG63" s="79"/>
      <c r="BH63" s="79"/>
    </row>
    <row r="64" spans="1:60" ht="11.25" hidden="1" customHeight="1">
      <c r="M64" s="72"/>
      <c r="N64" s="72"/>
      <c r="O64" s="72"/>
      <c r="P64" s="72"/>
      <c r="Q64" s="72"/>
      <c r="R64" s="24"/>
      <c r="S64" s="24"/>
      <c r="BD64" s="24"/>
      <c r="BE64" s="24"/>
      <c r="BF64" s="24"/>
      <c r="BG64" s="24"/>
      <c r="BH64" s="24"/>
    </row>
    <row r="65" spans="15:55" ht="18.75" hidden="1" customHeight="1">
      <c r="O65" s="72"/>
      <c r="S65" s="210" t="s">
        <v>1510</v>
      </c>
      <c r="T65" s="1336" t="s">
        <v>1716</v>
      </c>
      <c r="U65" s="1336"/>
      <c r="V65" s="1336"/>
      <c r="W65" s="1336"/>
      <c r="X65" s="1336"/>
      <c r="Y65" s="1336"/>
      <c r="Z65" s="1336"/>
      <c r="AA65" s="1336"/>
      <c r="AB65" s="1336"/>
      <c r="AC65" s="1336"/>
      <c r="AD65" s="1336"/>
      <c r="AE65" s="1336"/>
      <c r="AF65" s="1336"/>
      <c r="AG65" s="1336"/>
      <c r="AH65" s="1336"/>
      <c r="AI65" s="1336"/>
      <c r="AJ65" s="1336"/>
      <c r="AK65" s="1336"/>
      <c r="AL65" s="1336"/>
      <c r="AM65" s="1336"/>
      <c r="AN65" s="1336"/>
      <c r="AO65" s="1336"/>
      <c r="AP65" s="1336"/>
      <c r="AQ65" s="1336"/>
      <c r="AR65" s="1336"/>
      <c r="AS65" s="1336"/>
      <c r="AT65" s="1336"/>
      <c r="AU65" s="1336"/>
      <c r="AV65" s="1336"/>
      <c r="AW65" s="1336"/>
      <c r="AX65" s="1336"/>
      <c r="AY65" s="1336"/>
      <c r="AZ65" s="1336"/>
      <c r="BA65" s="1336"/>
      <c r="BB65" s="1336"/>
      <c r="BC65" s="1336"/>
    </row>
    <row r="66" spans="15:55" ht="14.25" hidden="1" customHeight="1">
      <c r="O66" s="72"/>
      <c r="T66" s="399"/>
      <c r="U66" s="399"/>
      <c r="V66" s="399"/>
      <c r="W66" s="399"/>
      <c r="X66" s="399"/>
      <c r="Y66" s="399"/>
      <c r="Z66" s="399"/>
      <c r="AA66" s="399"/>
      <c r="AB66" s="399"/>
      <c r="AC66" s="399"/>
      <c r="AD66" s="399"/>
      <c r="AE66" s="399"/>
      <c r="AF66" s="399"/>
      <c r="AG66" s="399"/>
      <c r="AH66" s="399"/>
      <c r="AI66" s="399"/>
      <c r="AJ66" s="399"/>
      <c r="AK66" s="399"/>
      <c r="AL66" s="399"/>
      <c r="AM66" s="399"/>
      <c r="AN66" s="399"/>
      <c r="AO66" s="399"/>
      <c r="AP66" s="399"/>
      <c r="AQ66" s="399"/>
      <c r="AR66" s="399"/>
      <c r="AS66" s="399"/>
      <c r="AT66" s="399"/>
      <c r="AU66" s="399"/>
      <c r="AV66" s="399"/>
      <c r="AW66" s="399"/>
      <c r="AX66" s="399"/>
      <c r="AY66" s="399"/>
      <c r="AZ66" s="399"/>
      <c r="BA66" s="399"/>
      <c r="BB66" s="399"/>
      <c r="BC66" s="399"/>
    </row>
    <row r="67" spans="15:55" ht="18.75" hidden="1" customHeight="1">
      <c r="O67" s="72"/>
      <c r="S67" s="210" t="s">
        <v>1510</v>
      </c>
      <c r="T67" s="1336" t="s">
        <v>1680</v>
      </c>
      <c r="U67" s="1336"/>
      <c r="V67" s="1336"/>
      <c r="W67" s="1336"/>
      <c r="X67" s="1336"/>
      <c r="Y67" s="1336"/>
      <c r="Z67" s="1336"/>
      <c r="AA67" s="1336"/>
      <c r="AB67" s="1336"/>
      <c r="AC67" s="1336"/>
      <c r="AD67" s="1336"/>
      <c r="AE67" s="1336"/>
      <c r="AF67" s="1336"/>
      <c r="AG67" s="1336"/>
      <c r="AH67" s="1336"/>
      <c r="AI67" s="1336"/>
      <c r="AJ67" s="1336"/>
      <c r="AK67" s="1336"/>
      <c r="AL67" s="1336"/>
      <c r="AM67" s="1336"/>
      <c r="AN67" s="1336"/>
      <c r="AO67" s="1336"/>
      <c r="AP67" s="1336"/>
      <c r="AQ67" s="1336"/>
      <c r="AR67" s="1336"/>
      <c r="AS67" s="1336"/>
      <c r="AT67" s="1336"/>
      <c r="AU67" s="1336"/>
      <c r="AV67" s="1336"/>
      <c r="AW67" s="1336"/>
      <c r="AX67" s="1336"/>
      <c r="AY67" s="1336"/>
      <c r="AZ67" s="1336"/>
      <c r="BA67" s="1336"/>
      <c r="BB67" s="1336"/>
      <c r="BC67" s="1336"/>
    </row>
    <row r="68" spans="15:55" ht="14.25" customHeight="1">
      <c r="O68" s="72"/>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35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35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35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35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35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35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35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35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35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0C01BA-09BE-E357-F0C6-57E84B71E5CB}">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46C212-70D2-46C9-5689-B967EE0E302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EA0512-D224-DF76-DBA6-2EBE92641ACB}">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356D81-32DE-2555-9E08-EA45AE9AE544}">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DDA962-8F29-7691-3BE9-231CC9019ED3}">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E20EA4-C7D2-1064-DA84-EBF2F9367992}">
  <sheetPr>
    <tabColor rgb="FFCCCCFF"/>
  </sheetPr>
  <dimension ref="A1:BL49"/>
  <sheetViews>
    <sheetView showGridLines="0" topLeftCell="C3" zoomScale="90" workbookViewId="0"/>
  </sheetViews>
  <sheetFormatPr defaultColWidth="9.140625" defaultRowHeight="11.25" customHeight="1"/>
  <cols>
    <col min="1" max="2" width="9.140625" hidden="1"/>
    <col min="3" max="4" width="3.7109375" customWidth="1"/>
    <col min="5" max="6" width="16" customWidth="1"/>
    <col min="7" max="7" width="11.5703125" customWidth="1"/>
    <col min="8" max="9" width="3.7109375" customWidth="1"/>
    <col min="10" max="10" width="13.140625" customWidth="1"/>
    <col min="11" max="11" width="0.28515625" customWidth="1"/>
    <col min="12" max="13" width="10.7109375" customWidth="1"/>
    <col min="14" max="15" width="3.7109375" customWidth="1"/>
    <col min="16" max="16" width="19.7109375" customWidth="1"/>
    <col min="17" max="17" width="0.28515625" customWidth="1"/>
    <col min="18" max="19" width="10.7109375" customWidth="1"/>
    <col min="20" max="21" width="3.7109375" customWidth="1"/>
    <col min="22" max="22" width="25.7109375" customWidth="1"/>
    <col min="23" max="23" width="0.28515625" customWidth="1"/>
    <col min="24" max="25" width="10.7109375" customWidth="1"/>
    <col min="26" max="27" width="3.7109375" customWidth="1"/>
    <col min="28" max="28" width="16.42578125" customWidth="1"/>
    <col min="29" max="29" width="0.28515625" customWidth="1"/>
    <col min="30" max="31" width="10.7109375" customWidth="1"/>
    <col min="32" max="33" width="3.7109375" customWidth="1"/>
    <col min="34" max="34" width="8.7109375" customWidth="1"/>
    <col min="35" max="35" width="21.7109375" customWidth="1"/>
    <col min="37" max="37" width="9.140625" style="56"/>
  </cols>
  <sheetData>
    <row r="1" spans="1:64" s="111" customFormat="1" ht="11.25" hidden="1" customHeight="1">
      <c r="AJ1" s="71"/>
      <c r="AK1" s="71"/>
      <c r="AL1" s="71"/>
      <c r="AM1" s="71"/>
      <c r="AN1" s="71"/>
      <c r="AO1" s="71"/>
      <c r="AP1" s="71"/>
      <c r="AQ1" s="71"/>
      <c r="AR1" s="71"/>
      <c r="AS1" s="71"/>
      <c r="AT1" s="71"/>
      <c r="AU1" s="71"/>
      <c r="AV1" s="71"/>
      <c r="AW1" s="71"/>
      <c r="AX1" s="71"/>
      <c r="AY1" s="71"/>
      <c r="AZ1" s="71"/>
      <c r="BA1" s="71"/>
      <c r="BB1" s="71"/>
      <c r="BC1" s="71"/>
      <c r="BD1" s="71"/>
      <c r="BE1" s="71"/>
      <c r="BF1" s="71"/>
      <c r="BG1" s="71"/>
      <c r="BH1" s="71"/>
      <c r="BI1" s="71"/>
      <c r="BJ1" s="71"/>
      <c r="BK1" s="71"/>
      <c r="BL1" s="71"/>
    </row>
    <row r="2" spans="1:64" s="904" customFormat="1" ht="11.25" hidden="1" customHeight="1">
      <c r="L2" s="904" t="s">
        <v>271</v>
      </c>
      <c r="M2" s="904" t="s">
        <v>272</v>
      </c>
      <c r="R2" s="904" t="s">
        <v>273</v>
      </c>
      <c r="S2" s="904" t="s">
        <v>272</v>
      </c>
      <c r="X2" s="904" t="s">
        <v>271</v>
      </c>
      <c r="Y2" s="904" t="s">
        <v>272</v>
      </c>
      <c r="AD2" s="904" t="s">
        <v>271</v>
      </c>
      <c r="AE2" s="904" t="s">
        <v>272</v>
      </c>
      <c r="AJ2" s="920"/>
      <c r="AK2" s="920"/>
      <c r="AL2" s="920"/>
      <c r="AM2" s="920"/>
      <c r="AN2" s="920"/>
      <c r="AO2" s="920"/>
      <c r="AP2" s="920"/>
      <c r="AQ2" s="920"/>
      <c r="AR2" s="920"/>
      <c r="AS2" s="920"/>
      <c r="AT2" s="920"/>
      <c r="AU2" s="920"/>
      <c r="AV2" s="920"/>
      <c r="AW2" s="920"/>
      <c r="AX2" s="920"/>
      <c r="AY2" s="920"/>
      <c r="AZ2" s="920"/>
      <c r="BA2" s="920"/>
      <c r="BB2" s="920"/>
      <c r="BC2" s="920"/>
      <c r="BD2" s="920"/>
      <c r="BE2" s="920"/>
      <c r="BF2" s="920"/>
      <c r="BG2" s="920"/>
      <c r="BH2" s="920"/>
      <c r="BI2" s="920"/>
      <c r="BJ2" s="920"/>
      <c r="BK2" s="920"/>
      <c r="BL2" s="920"/>
    </row>
    <row r="3" spans="1:64" s="905" customFormat="1" ht="11.25" customHeight="1">
      <c r="AJ3"/>
      <c r="AK3" s="56"/>
      <c r="AL3"/>
      <c r="AM3"/>
      <c r="AN3"/>
      <c r="AO3"/>
      <c r="AP3"/>
      <c r="AQ3"/>
      <c r="AR3"/>
      <c r="AS3"/>
      <c r="AT3"/>
      <c r="AU3"/>
      <c r="AV3"/>
      <c r="AW3"/>
      <c r="AX3"/>
      <c r="AY3"/>
      <c r="AZ3"/>
      <c r="BA3"/>
      <c r="BB3"/>
      <c r="BC3"/>
      <c r="BD3"/>
      <c r="BE3"/>
      <c r="BF3"/>
      <c r="BG3"/>
      <c r="BH3"/>
      <c r="BI3"/>
      <c r="BJ3"/>
      <c r="BK3"/>
      <c r="BL3"/>
    </row>
    <row r="4" spans="1:64" s="55" customFormat="1" ht="33" customHeight="1">
      <c r="A4" s="54"/>
      <c r="B4" s="24"/>
      <c r="C4" s="86"/>
      <c r="D4" s="1181" t="s">
        <v>274</v>
      </c>
      <c r="E4" s="1181"/>
      <c r="F4" s="1181"/>
      <c r="G4" s="1181"/>
      <c r="H4" s="1181"/>
      <c r="I4" s="1181"/>
      <c r="J4" s="1181"/>
      <c r="K4" s="429"/>
      <c r="T4" s="906"/>
      <c r="AJ4" s="921"/>
      <c r="AK4" s="922"/>
      <c r="AL4" s="921"/>
      <c r="AM4" s="921"/>
      <c r="AN4" s="921"/>
      <c r="AO4" s="921"/>
      <c r="AP4" s="921"/>
      <c r="AQ4" s="921"/>
      <c r="AR4" s="921"/>
      <c r="AS4" s="921"/>
      <c r="AT4" s="921"/>
      <c r="AU4" s="921"/>
      <c r="AV4" s="921"/>
      <c r="AW4" s="921"/>
      <c r="AX4" s="921"/>
      <c r="AY4" s="921"/>
      <c r="AZ4" s="921"/>
      <c r="BA4" s="921"/>
      <c r="BB4" s="921"/>
      <c r="BC4" s="921"/>
      <c r="BD4" s="921"/>
      <c r="BE4" s="921"/>
      <c r="BF4" s="921"/>
      <c r="BG4" s="921"/>
      <c r="BH4" s="921"/>
      <c r="BI4" s="921"/>
      <c r="BJ4" s="921"/>
      <c r="BK4" s="921"/>
      <c r="BL4" s="921"/>
    </row>
    <row r="5" spans="1:64" s="55" customFormat="1" ht="14.25" customHeight="1">
      <c r="A5" s="54"/>
      <c r="B5" s="24"/>
      <c r="C5" s="86"/>
      <c r="D5" s="1204" t="str">
        <f>IF(org=0,"Не определено",org)</f>
        <v>ООО "ТЕПЛО ПЛЮС"</v>
      </c>
      <c r="E5" s="1204"/>
      <c r="F5" s="1204"/>
      <c r="G5" s="1204"/>
      <c r="H5" s="1204"/>
      <c r="I5" s="1204"/>
      <c r="J5" s="1204"/>
      <c r="K5" s="429"/>
      <c r="T5" s="906"/>
      <c r="AJ5" s="921"/>
      <c r="AK5" s="922"/>
      <c r="AL5" s="921"/>
      <c r="AM5" s="921"/>
      <c r="AN5" s="921"/>
      <c r="AO5" s="921"/>
      <c r="AP5" s="921"/>
      <c r="AQ5" s="921"/>
      <c r="AR5" s="921"/>
      <c r="AS5" s="921"/>
      <c r="AT5" s="921"/>
      <c r="AU5" s="921"/>
      <c r="AV5" s="921"/>
      <c r="AW5" s="921"/>
      <c r="AX5" s="921"/>
      <c r="AY5" s="921"/>
      <c r="AZ5" s="921"/>
      <c r="BA5" s="921"/>
      <c r="BB5" s="921"/>
      <c r="BC5" s="921"/>
      <c r="BD5" s="921"/>
      <c r="BE5" s="921"/>
      <c r="BF5" s="921"/>
      <c r="BG5" s="921"/>
      <c r="BH5" s="921"/>
      <c r="BI5" s="921"/>
      <c r="BJ5" s="921"/>
      <c r="BK5" s="921"/>
      <c r="BL5" s="921"/>
    </row>
    <row r="6" spans="1:64" s="55" customFormat="1" ht="14.25" customHeight="1">
      <c r="A6" s="54"/>
      <c r="B6" s="24"/>
      <c r="C6" s="86"/>
      <c r="D6" s="429"/>
      <c r="E6" s="429"/>
      <c r="F6" s="429"/>
      <c r="G6" s="429"/>
      <c r="H6" s="429"/>
      <c r="I6" s="429"/>
      <c r="J6" s="429"/>
      <c r="K6" s="429"/>
      <c r="T6" s="906"/>
      <c r="AJ6" s="921"/>
      <c r="AK6" s="922"/>
      <c r="AL6" s="921"/>
      <c r="AM6" s="921"/>
      <c r="AN6" s="921"/>
      <c r="AO6" s="921"/>
      <c r="AP6" s="921"/>
      <c r="AQ6" s="921"/>
      <c r="AR6" s="921"/>
      <c r="AS6" s="921"/>
      <c r="AT6" s="921"/>
      <c r="AU6" s="921"/>
      <c r="AV6" s="921"/>
      <c r="AW6" s="921"/>
      <c r="AX6" s="921"/>
      <c r="AY6" s="921"/>
      <c r="AZ6" s="921"/>
      <c r="BA6" s="921"/>
      <c r="BB6" s="921"/>
      <c r="BC6" s="921"/>
      <c r="BD6" s="921"/>
      <c r="BE6" s="921"/>
      <c r="BF6" s="921"/>
      <c r="BG6" s="921"/>
      <c r="BH6" s="921"/>
      <c r="BI6" s="921"/>
      <c r="BJ6" s="921"/>
      <c r="BK6" s="921"/>
      <c r="BL6" s="921"/>
    </row>
    <row r="7" spans="1:64" s="111" customFormat="1" ht="0.75" customHeight="1">
      <c r="AJ7" s="71"/>
      <c r="AK7" s="71"/>
      <c r="AL7" s="71"/>
      <c r="AM7" s="71"/>
      <c r="AN7" s="71"/>
      <c r="AO7" s="71"/>
      <c r="AP7" s="71"/>
      <c r="AQ7" s="71"/>
      <c r="AR7" s="71"/>
      <c r="AS7" s="71"/>
      <c r="AT7" s="71"/>
      <c r="AU7" s="71"/>
      <c r="AV7" s="71"/>
      <c r="AW7" s="71"/>
      <c r="AX7" s="71"/>
      <c r="AY7" s="71"/>
      <c r="AZ7" s="71"/>
      <c r="BA7" s="71"/>
      <c r="BB7" s="71"/>
      <c r="BC7" s="71"/>
      <c r="BD7" s="71"/>
      <c r="BE7" s="71"/>
      <c r="BF7" s="71"/>
      <c r="BG7" s="71"/>
      <c r="BH7" s="71"/>
      <c r="BI7" s="71"/>
      <c r="BJ7" s="71"/>
      <c r="BK7" s="71"/>
      <c r="BL7" s="71"/>
    </row>
    <row r="8" spans="1:64" ht="31.5" customHeight="1">
      <c r="D8" s="1123" t="s">
        <v>88</v>
      </c>
      <c r="E8" s="1123" t="s">
        <v>105</v>
      </c>
      <c r="F8" s="1183" t="s">
        <v>123</v>
      </c>
      <c r="G8" s="1184"/>
      <c r="H8" s="1183" t="s">
        <v>88</v>
      </c>
      <c r="I8" s="1184"/>
      <c r="J8" s="1123" t="s">
        <v>124</v>
      </c>
      <c r="K8" s="731"/>
      <c r="L8" s="1182" t="s">
        <v>275</v>
      </c>
      <c r="M8" s="1182"/>
      <c r="N8" s="1182"/>
      <c r="O8" s="1182"/>
      <c r="P8" s="1182"/>
      <c r="Q8" s="907"/>
      <c r="R8" s="1105" t="s">
        <v>276</v>
      </c>
      <c r="S8" s="1110"/>
      <c r="T8" s="1110"/>
      <c r="U8" s="1110"/>
      <c r="V8" s="1110"/>
      <c r="W8" s="907"/>
      <c r="X8" s="1123" t="s">
        <v>277</v>
      </c>
      <c r="Y8" s="1123"/>
      <c r="Z8" s="1123"/>
      <c r="AA8" s="1123"/>
      <c r="AB8" s="1123"/>
      <c r="AC8" s="366"/>
      <c r="AD8" s="1123" t="s">
        <v>278</v>
      </c>
      <c r="AE8" s="1123"/>
      <c r="AF8" s="1123"/>
      <c r="AG8" s="1123"/>
      <c r="AH8" s="1105"/>
      <c r="AI8" s="1123" t="s">
        <v>279</v>
      </c>
    </row>
    <row r="9" spans="1:64" ht="22.5" customHeight="1">
      <c r="D9" s="1123"/>
      <c r="E9" s="1123"/>
      <c r="F9" s="1182" t="s">
        <v>89</v>
      </c>
      <c r="G9" s="1182" t="s">
        <v>129</v>
      </c>
      <c r="H9" s="1185"/>
      <c r="I9" s="1186"/>
      <c r="J9" s="1105"/>
      <c r="K9" s="908"/>
      <c r="L9" s="1123" t="s">
        <v>280</v>
      </c>
      <c r="M9" s="1105"/>
      <c r="N9" s="1183" t="s">
        <v>88</v>
      </c>
      <c r="O9" s="1184"/>
      <c r="P9" s="1123" t="s">
        <v>130</v>
      </c>
      <c r="Q9" s="731"/>
      <c r="R9" s="1123" t="s">
        <v>280</v>
      </c>
      <c r="S9" s="1105"/>
      <c r="T9" s="1183" t="s">
        <v>88</v>
      </c>
      <c r="U9" s="1184"/>
      <c r="V9" s="1123" t="s">
        <v>130</v>
      </c>
      <c r="W9" s="731"/>
      <c r="X9" s="1123" t="s">
        <v>280</v>
      </c>
      <c r="Y9" s="1105"/>
      <c r="Z9" s="1183" t="s">
        <v>88</v>
      </c>
      <c r="AA9" s="1184"/>
      <c r="AB9" s="1123" t="s">
        <v>281</v>
      </c>
      <c r="AC9" s="731"/>
      <c r="AD9" s="1123" t="s">
        <v>280</v>
      </c>
      <c r="AE9" s="1105"/>
      <c r="AF9" s="1183" t="s">
        <v>88</v>
      </c>
      <c r="AG9" s="1184"/>
      <c r="AH9" s="1105" t="s">
        <v>281</v>
      </c>
      <c r="AI9" s="1123"/>
    </row>
    <row r="10" spans="1:64" ht="22.5" customHeight="1">
      <c r="D10" s="1182"/>
      <c r="E10" s="1182"/>
      <c r="F10" s="1187"/>
      <c r="G10" s="1187"/>
      <c r="H10" s="1188"/>
      <c r="I10" s="1189"/>
      <c r="J10" s="1183"/>
      <c r="K10" s="908"/>
      <c r="L10" s="366" t="s">
        <v>282</v>
      </c>
      <c r="M10" s="907" t="s">
        <v>283</v>
      </c>
      <c r="N10" s="1185"/>
      <c r="O10" s="1186"/>
      <c r="P10" s="1182"/>
      <c r="Q10" s="731"/>
      <c r="R10" s="366" t="s">
        <v>282</v>
      </c>
      <c r="S10" s="907" t="s">
        <v>283</v>
      </c>
      <c r="T10" s="1185"/>
      <c r="U10" s="1186"/>
      <c r="V10" s="1182"/>
      <c r="W10" s="731"/>
      <c r="X10" s="366" t="s">
        <v>282</v>
      </c>
      <c r="Y10" s="907" t="s">
        <v>283</v>
      </c>
      <c r="Z10" s="1185"/>
      <c r="AA10" s="1186"/>
      <c r="AB10" s="1182"/>
      <c r="AC10" s="731"/>
      <c r="AD10" s="366" t="s">
        <v>282</v>
      </c>
      <c r="AE10" s="907" t="s">
        <v>283</v>
      </c>
      <c r="AF10" s="1185"/>
      <c r="AG10" s="1186"/>
      <c r="AH10" s="1183"/>
      <c r="AI10" s="1182"/>
      <c r="AK10" s="43" t="s">
        <v>284</v>
      </c>
      <c r="AL10" s="43" t="s">
        <v>131</v>
      </c>
    </row>
    <row r="11" spans="1:64" ht="14.25" customHeight="1">
      <c r="D11" s="1190" t="s">
        <v>109</v>
      </c>
      <c r="E11" s="1192" t="s">
        <v>285</v>
      </c>
      <c r="F11" s="1192" t="s">
        <v>286</v>
      </c>
      <c r="G11" s="1195" t="s">
        <v>57</v>
      </c>
      <c r="H11" s="930"/>
      <c r="I11" s="1197"/>
      <c r="J11" s="1156"/>
      <c r="K11" s="871"/>
      <c r="L11" s="1141"/>
      <c r="M11" s="1141"/>
      <c r="N11" s="924"/>
      <c r="O11" s="1141"/>
      <c r="P11" s="1156"/>
      <c r="Q11" s="871"/>
      <c r="R11" s="1141"/>
      <c r="S11" s="1141"/>
      <c r="T11" s="925"/>
      <c r="U11" s="1141"/>
      <c r="V11" s="1156"/>
      <c r="W11" s="800"/>
      <c r="X11" s="1141"/>
      <c r="Y11" s="1141"/>
      <c r="Z11" s="924"/>
      <c r="AA11" s="1141"/>
      <c r="AB11" s="1156"/>
      <c r="AC11" s="926"/>
      <c r="AD11" s="1141"/>
      <c r="AE11" s="1141"/>
      <c r="AF11" s="800"/>
      <c r="AG11" s="800"/>
      <c r="AH11" s="924"/>
      <c r="AI11" s="802"/>
    </row>
    <row r="12" spans="1:64" ht="14.25" customHeight="1">
      <c r="D12" s="1190"/>
      <c r="E12" s="1192"/>
      <c r="F12" s="1192"/>
      <c r="G12" s="1196"/>
      <c r="H12" s="931"/>
      <c r="I12" s="1198"/>
      <c r="J12" s="1157"/>
      <c r="K12" s="368"/>
      <c r="L12" s="1142"/>
      <c r="M12" s="1142"/>
      <c r="N12" s="42"/>
      <c r="O12" s="1142"/>
      <c r="P12" s="1157"/>
      <c r="Q12" s="409"/>
      <c r="R12" s="1142"/>
      <c r="S12" s="1142"/>
      <c r="T12" s="927"/>
      <c r="U12" s="1142"/>
      <c r="V12" s="1157"/>
      <c r="W12" s="214"/>
      <c r="X12" s="1142"/>
      <c r="Y12" s="1142"/>
      <c r="Z12" s="42"/>
      <c r="AA12" s="1142"/>
      <c r="AB12" s="1157"/>
      <c r="AC12" s="368"/>
      <c r="AD12" s="1142"/>
      <c r="AE12" s="1142"/>
      <c r="AF12" s="803"/>
      <c r="AG12" s="803"/>
      <c r="AH12" s="1201"/>
      <c r="AI12" s="1202"/>
    </row>
    <row r="13" spans="1:64" ht="14.25" customHeight="1">
      <c r="D13" s="1190"/>
      <c r="E13" s="1192"/>
      <c r="F13" s="1192"/>
      <c r="G13" s="1196"/>
      <c r="H13" s="931"/>
      <c r="I13" s="1198"/>
      <c r="J13" s="1157"/>
      <c r="K13" s="368"/>
      <c r="L13" s="1142"/>
      <c r="M13" s="1142"/>
      <c r="N13" s="42"/>
      <c r="O13" s="1142"/>
      <c r="P13" s="1157"/>
      <c r="Q13" s="409"/>
      <c r="R13" s="1142"/>
      <c r="S13" s="1142"/>
      <c r="T13" s="927"/>
      <c r="U13" s="1142"/>
      <c r="V13" s="1157"/>
      <c r="W13" s="214"/>
      <c r="X13" s="1142"/>
      <c r="Y13" s="1142"/>
      <c r="Z13" s="214"/>
      <c r="AA13" s="803"/>
      <c r="AB13" s="1201"/>
      <c r="AC13" s="1201"/>
      <c r="AD13" s="1201"/>
      <c r="AE13" s="1201"/>
      <c r="AF13" s="1201"/>
      <c r="AG13" s="1201"/>
      <c r="AH13" s="1201"/>
      <c r="AI13" s="1202"/>
    </row>
    <row r="14" spans="1:64" ht="14.25" customHeight="1">
      <c r="D14" s="1190"/>
      <c r="E14" s="1192"/>
      <c r="F14" s="1192"/>
      <c r="G14" s="1196"/>
      <c r="H14" s="931"/>
      <c r="I14" s="1198"/>
      <c r="J14" s="1157"/>
      <c r="K14" s="368"/>
      <c r="L14" s="1142"/>
      <c r="M14" s="1142"/>
      <c r="N14" s="42"/>
      <c r="O14" s="1142"/>
      <c r="P14" s="1157"/>
      <c r="Q14" s="409"/>
      <c r="R14" s="1142"/>
      <c r="S14" s="1142"/>
      <c r="T14" s="60"/>
      <c r="U14" s="928"/>
      <c r="V14" s="1201"/>
      <c r="W14" s="1201"/>
      <c r="X14" s="1201"/>
      <c r="Y14" s="1201"/>
      <c r="Z14" s="1201"/>
      <c r="AA14" s="1201"/>
      <c r="AB14" s="1201"/>
      <c r="AC14" s="1201"/>
      <c r="AD14" s="1201"/>
      <c r="AE14" s="1201"/>
      <c r="AF14" s="1201"/>
      <c r="AG14" s="1201"/>
      <c r="AH14" s="1201"/>
      <c r="AI14" s="1202"/>
    </row>
    <row r="15" spans="1:64" ht="11.25" customHeight="1">
      <c r="D15" s="1190"/>
      <c r="E15" s="1192"/>
      <c r="F15" s="1192"/>
      <c r="G15" s="1196"/>
      <c r="H15" s="932"/>
      <c r="I15" s="1198"/>
      <c r="J15" s="1157"/>
      <c r="K15" s="368"/>
      <c r="L15" s="1142"/>
      <c r="M15" s="1142"/>
      <c r="N15" s="803"/>
      <c r="O15" s="803"/>
      <c r="P15" s="1201"/>
      <c r="Q15" s="1201"/>
      <c r="R15" s="1201"/>
      <c r="S15" s="1201"/>
      <c r="T15" s="1201"/>
      <c r="U15" s="1201"/>
      <c r="V15" s="1201"/>
      <c r="W15" s="1201"/>
      <c r="X15" s="1201"/>
      <c r="Y15" s="1201"/>
      <c r="Z15" s="1201"/>
      <c r="AA15" s="1201"/>
      <c r="AB15" s="1201"/>
      <c r="AC15" s="1201"/>
      <c r="AD15" s="1201"/>
      <c r="AE15" s="1201"/>
      <c r="AF15" s="1201"/>
      <c r="AG15" s="1201"/>
      <c r="AH15" s="1201"/>
      <c r="AI15" s="1202"/>
    </row>
    <row r="16" spans="1:64" s="905" customFormat="1" ht="11.25" customHeight="1">
      <c r="D16" s="1191"/>
      <c r="E16" s="1193"/>
      <c r="F16" s="1194"/>
      <c r="G16" s="1138"/>
      <c r="H16" s="929"/>
      <c r="I16" s="933"/>
      <c r="J16" s="1199"/>
      <c r="K16" s="1199"/>
      <c r="L16" s="1199"/>
      <c r="M16" s="1199"/>
      <c r="N16" s="1199"/>
      <c r="O16" s="1199"/>
      <c r="P16" s="1199"/>
      <c r="Q16" s="1199"/>
      <c r="R16" s="1199"/>
      <c r="S16" s="1199"/>
      <c r="T16" s="1199"/>
      <c r="U16" s="1199"/>
      <c r="V16" s="1199"/>
      <c r="W16" s="1199"/>
      <c r="X16" s="1199"/>
      <c r="Y16" s="1199"/>
      <c r="Z16" s="1199"/>
      <c r="AA16" s="1199"/>
      <c r="AB16" s="1199"/>
      <c r="AC16" s="1199"/>
      <c r="AD16" s="1199"/>
      <c r="AE16" s="1199"/>
      <c r="AF16" s="1199"/>
      <c r="AG16" s="1199"/>
      <c r="AH16" s="1199"/>
      <c r="AI16" s="1200"/>
      <c r="AJ16"/>
      <c r="AK16" s="56"/>
      <c r="AL16"/>
      <c r="AM16"/>
      <c r="AN16"/>
      <c r="AO16"/>
      <c r="AP16"/>
      <c r="AQ16"/>
      <c r="AR16"/>
      <c r="AS16"/>
      <c r="AT16"/>
      <c r="AU16"/>
      <c r="AV16"/>
      <c r="AW16"/>
      <c r="AX16"/>
      <c r="AY16"/>
      <c r="AZ16"/>
      <c r="BA16"/>
      <c r="BB16"/>
      <c r="BC16"/>
      <c r="BD16"/>
      <c r="BE16"/>
      <c r="BF16"/>
      <c r="BG16"/>
      <c r="BH16"/>
      <c r="BI16"/>
      <c r="BJ16"/>
      <c r="BK16"/>
      <c r="BL16"/>
    </row>
    <row r="17" spans="4:64" ht="14.25" customHeight="1">
      <c r="D17" s="1190" t="s">
        <v>110</v>
      </c>
      <c r="E17" s="1192" t="s">
        <v>285</v>
      </c>
      <c r="F17" s="1192" t="s">
        <v>287</v>
      </c>
      <c r="G17" s="1195" t="s">
        <v>57</v>
      </c>
      <c r="H17" s="930"/>
      <c r="I17" s="1197"/>
      <c r="J17" s="1156"/>
      <c r="K17" s="871"/>
      <c r="L17" s="1141"/>
      <c r="M17" s="1141"/>
      <c r="N17" s="924"/>
      <c r="O17" s="1141"/>
      <c r="P17" s="1156"/>
      <c r="Q17" s="871"/>
      <c r="R17" s="1141"/>
      <c r="S17" s="1141"/>
      <c r="T17" s="925"/>
      <c r="U17" s="1141"/>
      <c r="V17" s="1156"/>
      <c r="W17" s="800"/>
      <c r="X17" s="1141"/>
      <c r="Y17" s="1141"/>
      <c r="Z17" s="924"/>
      <c r="AA17" s="1141"/>
      <c r="AB17" s="1156"/>
      <c r="AC17" s="926"/>
      <c r="AD17" s="1141"/>
      <c r="AE17" s="1141"/>
      <c r="AF17" s="800"/>
      <c r="AG17" s="800"/>
      <c r="AH17" s="924"/>
      <c r="AI17" s="802"/>
    </row>
    <row r="18" spans="4:64" ht="14.25" customHeight="1">
      <c r="D18" s="1190"/>
      <c r="E18" s="1192"/>
      <c r="F18" s="1192"/>
      <c r="G18" s="1196"/>
      <c r="H18" s="931"/>
      <c r="I18" s="1198"/>
      <c r="J18" s="1157"/>
      <c r="K18" s="368"/>
      <c r="L18" s="1142"/>
      <c r="M18" s="1142"/>
      <c r="N18" s="42"/>
      <c r="O18" s="1142"/>
      <c r="P18" s="1157"/>
      <c r="Q18" s="409"/>
      <c r="R18" s="1142"/>
      <c r="S18" s="1142"/>
      <c r="T18" s="927"/>
      <c r="U18" s="1142"/>
      <c r="V18" s="1157"/>
      <c r="W18" s="214"/>
      <c r="X18" s="1142"/>
      <c r="Y18" s="1142"/>
      <c r="Z18" s="42"/>
      <c r="AA18" s="1142"/>
      <c r="AB18" s="1157"/>
      <c r="AC18" s="368"/>
      <c r="AD18" s="1142"/>
      <c r="AE18" s="1142"/>
      <c r="AF18" s="803"/>
      <c r="AG18" s="803"/>
      <c r="AH18" s="1201"/>
      <c r="AI18" s="1202"/>
    </row>
    <row r="19" spans="4:64" ht="14.25" customHeight="1">
      <c r="D19" s="1190"/>
      <c r="E19" s="1192"/>
      <c r="F19" s="1192"/>
      <c r="G19" s="1196"/>
      <c r="H19" s="931"/>
      <c r="I19" s="1198"/>
      <c r="J19" s="1157"/>
      <c r="K19" s="368"/>
      <c r="L19" s="1142"/>
      <c r="M19" s="1142"/>
      <c r="N19" s="42"/>
      <c r="O19" s="1142"/>
      <c r="P19" s="1157"/>
      <c r="Q19" s="409"/>
      <c r="R19" s="1142"/>
      <c r="S19" s="1142"/>
      <c r="T19" s="927"/>
      <c r="U19" s="1142"/>
      <c r="V19" s="1157"/>
      <c r="W19" s="214"/>
      <c r="X19" s="1142"/>
      <c r="Y19" s="1142"/>
      <c r="Z19" s="214"/>
      <c r="AA19" s="803"/>
      <c r="AB19" s="1201"/>
      <c r="AC19" s="1201"/>
      <c r="AD19" s="1201"/>
      <c r="AE19" s="1201"/>
      <c r="AF19" s="1201"/>
      <c r="AG19" s="1201"/>
      <c r="AH19" s="1201"/>
      <c r="AI19" s="1202"/>
    </row>
    <row r="20" spans="4:64" ht="14.25" customHeight="1">
      <c r="D20" s="1190"/>
      <c r="E20" s="1192"/>
      <c r="F20" s="1192"/>
      <c r="G20" s="1196"/>
      <c r="H20" s="931"/>
      <c r="I20" s="1198"/>
      <c r="J20" s="1157"/>
      <c r="K20" s="368"/>
      <c r="L20" s="1142"/>
      <c r="M20" s="1142"/>
      <c r="N20" s="42"/>
      <c r="O20" s="1142"/>
      <c r="P20" s="1157"/>
      <c r="Q20" s="409"/>
      <c r="R20" s="1142"/>
      <c r="S20" s="1142"/>
      <c r="T20" s="60"/>
      <c r="U20" s="928"/>
      <c r="V20" s="1201"/>
      <c r="W20" s="1201"/>
      <c r="X20" s="1201"/>
      <c r="Y20" s="1201"/>
      <c r="Z20" s="1201"/>
      <c r="AA20" s="1201"/>
      <c r="AB20" s="1201"/>
      <c r="AC20" s="1201"/>
      <c r="AD20" s="1201"/>
      <c r="AE20" s="1201"/>
      <c r="AF20" s="1201"/>
      <c r="AG20" s="1201"/>
      <c r="AH20" s="1201"/>
      <c r="AI20" s="1202"/>
    </row>
    <row r="21" spans="4:64" ht="11.25" customHeight="1">
      <c r="D21" s="1190"/>
      <c r="E21" s="1192"/>
      <c r="F21" s="1192"/>
      <c r="G21" s="1196"/>
      <c r="H21" s="932"/>
      <c r="I21" s="1198"/>
      <c r="J21" s="1157"/>
      <c r="K21" s="368"/>
      <c r="L21" s="1142"/>
      <c r="M21" s="1142"/>
      <c r="N21" s="803"/>
      <c r="O21" s="803"/>
      <c r="P21" s="1201"/>
      <c r="Q21" s="1201"/>
      <c r="R21" s="1201"/>
      <c r="S21" s="1201"/>
      <c r="T21" s="1201"/>
      <c r="U21" s="1201"/>
      <c r="V21" s="1201"/>
      <c r="W21" s="1201"/>
      <c r="X21" s="1201"/>
      <c r="Y21" s="1201"/>
      <c r="Z21" s="1201"/>
      <c r="AA21" s="1201"/>
      <c r="AB21" s="1201"/>
      <c r="AC21" s="1201"/>
      <c r="AD21" s="1201"/>
      <c r="AE21" s="1201"/>
      <c r="AF21" s="1201"/>
      <c r="AG21" s="1201"/>
      <c r="AH21" s="1201"/>
      <c r="AI21" s="1202"/>
    </row>
    <row r="22" spans="4:64" s="905" customFormat="1" ht="11.25" customHeight="1">
      <c r="D22" s="1191"/>
      <c r="E22" s="1193"/>
      <c r="F22" s="1194"/>
      <c r="G22" s="1138"/>
      <c r="H22" s="929"/>
      <c r="I22" s="933"/>
      <c r="J22" s="1199"/>
      <c r="K22" s="1199"/>
      <c r="L22" s="1199"/>
      <c r="M22" s="1199"/>
      <c r="N22" s="1199"/>
      <c r="O22" s="1199"/>
      <c r="P22" s="1199"/>
      <c r="Q22" s="1199"/>
      <c r="R22" s="1199"/>
      <c r="S22" s="1199"/>
      <c r="T22" s="1199"/>
      <c r="U22" s="1199"/>
      <c r="V22" s="1199"/>
      <c r="W22" s="1199"/>
      <c r="X22" s="1199"/>
      <c r="Y22" s="1199"/>
      <c r="Z22" s="1199"/>
      <c r="AA22" s="1199"/>
      <c r="AB22" s="1199"/>
      <c r="AC22" s="1199"/>
      <c r="AD22" s="1199"/>
      <c r="AE22" s="1199"/>
      <c r="AF22" s="1199"/>
      <c r="AG22" s="1199"/>
      <c r="AH22" s="1199"/>
      <c r="AI22" s="1200"/>
      <c r="AJ22"/>
      <c r="AK22" s="56"/>
      <c r="AL22"/>
      <c r="AM22"/>
      <c r="AN22"/>
      <c r="AO22"/>
      <c r="AP22"/>
      <c r="AQ22"/>
      <c r="AR22"/>
      <c r="AS22"/>
      <c r="AT22"/>
      <c r="AU22"/>
      <c r="AV22"/>
      <c r="AW22"/>
      <c r="AX22"/>
      <c r="AY22"/>
      <c r="AZ22"/>
      <c r="BA22"/>
      <c r="BB22"/>
      <c r="BC22"/>
      <c r="BD22"/>
      <c r="BE22"/>
      <c r="BF22"/>
      <c r="BG22"/>
      <c r="BH22"/>
      <c r="BI22"/>
      <c r="BJ22"/>
      <c r="BK22"/>
      <c r="BL22"/>
    </row>
    <row r="23" spans="4:64" ht="14.25" customHeight="1">
      <c r="D23" s="1190" t="s">
        <v>90</v>
      </c>
      <c r="E23" s="1192" t="s">
        <v>285</v>
      </c>
      <c r="F23" s="1192" t="s">
        <v>288</v>
      </c>
      <c r="G23" s="1195" t="s">
        <v>57</v>
      </c>
      <c r="H23" s="930"/>
      <c r="I23" s="1197"/>
      <c r="J23" s="1156"/>
      <c r="K23" s="871"/>
      <c r="L23" s="1141"/>
      <c r="M23" s="1141"/>
      <c r="N23" s="924"/>
      <c r="O23" s="1141"/>
      <c r="P23" s="1156"/>
      <c r="Q23" s="871"/>
      <c r="R23" s="1141"/>
      <c r="S23" s="1141"/>
      <c r="T23" s="925"/>
      <c r="U23" s="1141"/>
      <c r="V23" s="1156"/>
      <c r="W23" s="800"/>
      <c r="X23" s="1141"/>
      <c r="Y23" s="1141"/>
      <c r="Z23" s="924"/>
      <c r="AA23" s="1141"/>
      <c r="AB23" s="1156"/>
      <c r="AC23" s="926"/>
      <c r="AD23" s="1141"/>
      <c r="AE23" s="1141"/>
      <c r="AF23" s="800"/>
      <c r="AG23" s="800"/>
      <c r="AH23" s="924"/>
      <c r="AI23" s="802"/>
      <c r="AK23" s="56" t="s">
        <v>98</v>
      </c>
    </row>
    <row r="24" spans="4:64" ht="14.25" customHeight="1">
      <c r="D24" s="1190"/>
      <c r="E24" s="1192"/>
      <c r="F24" s="1192"/>
      <c r="G24" s="1196"/>
      <c r="H24" s="931"/>
      <c r="I24" s="1198"/>
      <c r="J24" s="1157"/>
      <c r="K24" s="368"/>
      <c r="L24" s="1142"/>
      <c r="M24" s="1142"/>
      <c r="N24" s="42"/>
      <c r="O24" s="1142"/>
      <c r="P24" s="1157"/>
      <c r="Q24" s="409"/>
      <c r="R24" s="1142"/>
      <c r="S24" s="1142"/>
      <c r="T24" s="927"/>
      <c r="U24" s="1142"/>
      <c r="V24" s="1157"/>
      <c r="W24" s="214"/>
      <c r="X24" s="1142"/>
      <c r="Y24" s="1142"/>
      <c r="Z24" s="42"/>
      <c r="AA24" s="1142"/>
      <c r="AB24" s="1157"/>
      <c r="AC24" s="368"/>
      <c r="AD24" s="1142"/>
      <c r="AE24" s="1142"/>
      <c r="AF24" s="803"/>
      <c r="AG24" s="803"/>
      <c r="AH24" s="1201"/>
      <c r="AI24" s="1202"/>
    </row>
    <row r="25" spans="4:64" ht="14.25" customHeight="1">
      <c r="D25" s="1190"/>
      <c r="E25" s="1192"/>
      <c r="F25" s="1192"/>
      <c r="G25" s="1196"/>
      <c r="H25" s="931"/>
      <c r="I25" s="1198"/>
      <c r="J25" s="1157"/>
      <c r="K25" s="368"/>
      <c r="L25" s="1142"/>
      <c r="M25" s="1142"/>
      <c r="N25" s="42"/>
      <c r="O25" s="1142"/>
      <c r="P25" s="1157"/>
      <c r="Q25" s="409"/>
      <c r="R25" s="1142"/>
      <c r="S25" s="1142"/>
      <c r="T25" s="927"/>
      <c r="U25" s="1142"/>
      <c r="V25" s="1157"/>
      <c r="W25" s="214"/>
      <c r="X25" s="1142"/>
      <c r="Y25" s="1142"/>
      <c r="Z25" s="214"/>
      <c r="AA25" s="803"/>
      <c r="AB25" s="1201"/>
      <c r="AC25" s="1201"/>
      <c r="AD25" s="1201"/>
      <c r="AE25" s="1201"/>
      <c r="AF25" s="1201"/>
      <c r="AG25" s="1201"/>
      <c r="AH25" s="1201"/>
      <c r="AI25" s="1202"/>
    </row>
    <row r="26" spans="4:64" ht="14.25" customHeight="1">
      <c r="D26" s="1190"/>
      <c r="E26" s="1192"/>
      <c r="F26" s="1192"/>
      <c r="G26" s="1196"/>
      <c r="H26" s="931"/>
      <c r="I26" s="1198"/>
      <c r="J26" s="1157"/>
      <c r="K26" s="368"/>
      <c r="L26" s="1142"/>
      <c r="M26" s="1142"/>
      <c r="N26" s="42"/>
      <c r="O26" s="1142"/>
      <c r="P26" s="1157"/>
      <c r="Q26" s="409"/>
      <c r="R26" s="1142"/>
      <c r="S26" s="1142"/>
      <c r="T26" s="60"/>
      <c r="U26" s="928"/>
      <c r="V26" s="1201"/>
      <c r="W26" s="1201"/>
      <c r="X26" s="1201"/>
      <c r="Y26" s="1201"/>
      <c r="Z26" s="1201"/>
      <c r="AA26" s="1201"/>
      <c r="AB26" s="1201"/>
      <c r="AC26" s="1201"/>
      <c r="AD26" s="1201"/>
      <c r="AE26" s="1201"/>
      <c r="AF26" s="1201"/>
      <c r="AG26" s="1201"/>
      <c r="AH26" s="1201"/>
      <c r="AI26" s="1202"/>
    </row>
    <row r="27" spans="4:64" ht="11.25" customHeight="1">
      <c r="D27" s="1190"/>
      <c r="E27" s="1192"/>
      <c r="F27" s="1192"/>
      <c r="G27" s="1196"/>
      <c r="H27" s="932"/>
      <c r="I27" s="1198"/>
      <c r="J27" s="1157"/>
      <c r="K27" s="368"/>
      <c r="L27" s="1142"/>
      <c r="M27" s="1142"/>
      <c r="N27" s="803"/>
      <c r="O27" s="803"/>
      <c r="P27" s="1201"/>
      <c r="Q27" s="1201"/>
      <c r="R27" s="1201"/>
      <c r="S27" s="1201"/>
      <c r="T27" s="1201"/>
      <c r="U27" s="1201"/>
      <c r="V27" s="1201"/>
      <c r="W27" s="1201"/>
      <c r="X27" s="1201"/>
      <c r="Y27" s="1201"/>
      <c r="Z27" s="1201"/>
      <c r="AA27" s="1201"/>
      <c r="AB27" s="1201"/>
      <c r="AC27" s="1201"/>
      <c r="AD27" s="1201"/>
      <c r="AE27" s="1201"/>
      <c r="AF27" s="1201"/>
      <c r="AG27" s="1201"/>
      <c r="AH27" s="1201"/>
      <c r="AI27" s="1202"/>
    </row>
    <row r="28" spans="4:64" s="905" customFormat="1" ht="11.25" customHeight="1">
      <c r="D28" s="1191"/>
      <c r="E28" s="1193"/>
      <c r="F28" s="1194"/>
      <c r="G28" s="1138"/>
      <c r="H28" s="929"/>
      <c r="I28" s="933"/>
      <c r="J28" s="1199"/>
      <c r="K28" s="1199"/>
      <c r="L28" s="1199"/>
      <c r="M28" s="1199"/>
      <c r="N28" s="1199"/>
      <c r="O28" s="1199"/>
      <c r="P28" s="1199"/>
      <c r="Q28" s="1199"/>
      <c r="R28" s="1199"/>
      <c r="S28" s="1199"/>
      <c r="T28" s="1199"/>
      <c r="U28" s="1199"/>
      <c r="V28" s="1199"/>
      <c r="W28" s="1199"/>
      <c r="X28" s="1199"/>
      <c r="Y28" s="1199"/>
      <c r="Z28" s="1199"/>
      <c r="AA28" s="1199"/>
      <c r="AB28" s="1199"/>
      <c r="AC28" s="1199"/>
      <c r="AD28" s="1199"/>
      <c r="AE28" s="1199"/>
      <c r="AF28" s="1199"/>
      <c r="AG28" s="1199"/>
      <c r="AH28" s="1199"/>
      <c r="AI28" s="1200"/>
      <c r="AJ28"/>
      <c r="AK28" s="56"/>
      <c r="AL28"/>
      <c r="AM28"/>
      <c r="AN28"/>
      <c r="AO28"/>
      <c r="AP28"/>
      <c r="AQ28"/>
      <c r="AR28"/>
      <c r="AS28"/>
      <c r="AT28"/>
      <c r="AU28"/>
      <c r="AV28"/>
      <c r="AW28"/>
      <c r="AX28"/>
      <c r="AY28"/>
      <c r="AZ28"/>
      <c r="BA28"/>
      <c r="BB28"/>
      <c r="BC28"/>
      <c r="BD28"/>
      <c r="BE28"/>
      <c r="BF28"/>
      <c r="BG28"/>
      <c r="BH28"/>
      <c r="BI28"/>
      <c r="BJ28"/>
      <c r="BK28"/>
      <c r="BL28"/>
    </row>
    <row r="29" spans="4:64" ht="14.25" customHeight="1">
      <c r="D29" s="1190" t="s">
        <v>91</v>
      </c>
      <c r="E29" s="1192" t="s">
        <v>285</v>
      </c>
      <c r="F29" s="1192" t="s">
        <v>289</v>
      </c>
      <c r="G29" s="1195" t="s">
        <v>57</v>
      </c>
      <c r="H29" s="930"/>
      <c r="I29" s="1197"/>
      <c r="J29" s="1156"/>
      <c r="K29" s="871"/>
      <c r="L29" s="1141"/>
      <c r="M29" s="1141"/>
      <c r="N29" s="924"/>
      <c r="O29" s="1141"/>
      <c r="P29" s="1156"/>
      <c r="Q29" s="871"/>
      <c r="R29" s="1141"/>
      <c r="S29" s="1141"/>
      <c r="T29" s="925"/>
      <c r="U29" s="1141"/>
      <c r="V29" s="1156"/>
      <c r="W29" s="800"/>
      <c r="X29" s="1141"/>
      <c r="Y29" s="1141"/>
      <c r="Z29" s="924"/>
      <c r="AA29" s="1141"/>
      <c r="AB29" s="1156"/>
      <c r="AC29" s="926"/>
      <c r="AD29" s="1141"/>
      <c r="AE29" s="1141"/>
      <c r="AF29" s="800"/>
      <c r="AG29" s="800"/>
      <c r="AH29" s="924"/>
      <c r="AI29" s="802"/>
    </row>
    <row r="30" spans="4:64" ht="14.25" customHeight="1">
      <c r="D30" s="1190"/>
      <c r="E30" s="1192"/>
      <c r="F30" s="1192"/>
      <c r="G30" s="1196"/>
      <c r="H30" s="931"/>
      <c r="I30" s="1198"/>
      <c r="J30" s="1157"/>
      <c r="K30" s="368"/>
      <c r="L30" s="1142"/>
      <c r="M30" s="1142"/>
      <c r="N30" s="42"/>
      <c r="O30" s="1142"/>
      <c r="P30" s="1157"/>
      <c r="Q30" s="409"/>
      <c r="R30" s="1142"/>
      <c r="S30" s="1142"/>
      <c r="T30" s="927"/>
      <c r="U30" s="1142"/>
      <c r="V30" s="1157"/>
      <c r="W30" s="214"/>
      <c r="X30" s="1142"/>
      <c r="Y30" s="1142"/>
      <c r="Z30" s="42"/>
      <c r="AA30" s="1142"/>
      <c r="AB30" s="1157"/>
      <c r="AC30" s="368"/>
      <c r="AD30" s="1142"/>
      <c r="AE30" s="1142"/>
      <c r="AF30" s="803"/>
      <c r="AG30" s="803"/>
      <c r="AH30" s="1201"/>
      <c r="AI30" s="1202"/>
    </row>
    <row r="31" spans="4:64" ht="14.25" customHeight="1">
      <c r="D31" s="1190"/>
      <c r="E31" s="1192"/>
      <c r="F31" s="1192"/>
      <c r="G31" s="1196"/>
      <c r="H31" s="931"/>
      <c r="I31" s="1198"/>
      <c r="J31" s="1157"/>
      <c r="K31" s="368"/>
      <c r="L31" s="1142"/>
      <c r="M31" s="1142"/>
      <c r="N31" s="42"/>
      <c r="O31" s="1142"/>
      <c r="P31" s="1157"/>
      <c r="Q31" s="409"/>
      <c r="R31" s="1142"/>
      <c r="S31" s="1142"/>
      <c r="T31" s="927"/>
      <c r="U31" s="1142"/>
      <c r="V31" s="1157"/>
      <c r="W31" s="214"/>
      <c r="X31" s="1142"/>
      <c r="Y31" s="1142"/>
      <c r="Z31" s="214"/>
      <c r="AA31" s="803"/>
      <c r="AB31" s="1201"/>
      <c r="AC31" s="1201"/>
      <c r="AD31" s="1201"/>
      <c r="AE31" s="1201"/>
      <c r="AF31" s="1201"/>
      <c r="AG31" s="1201"/>
      <c r="AH31" s="1201"/>
      <c r="AI31" s="1202"/>
    </row>
    <row r="32" spans="4:64" ht="14.25" customHeight="1">
      <c r="D32" s="1190"/>
      <c r="E32" s="1192"/>
      <c r="F32" s="1192"/>
      <c r="G32" s="1196"/>
      <c r="H32" s="931"/>
      <c r="I32" s="1198"/>
      <c r="J32" s="1157"/>
      <c r="K32" s="368"/>
      <c r="L32" s="1142"/>
      <c r="M32" s="1142"/>
      <c r="N32" s="42"/>
      <c r="O32" s="1142"/>
      <c r="P32" s="1157"/>
      <c r="Q32" s="409"/>
      <c r="R32" s="1142"/>
      <c r="S32" s="1142"/>
      <c r="T32" s="60"/>
      <c r="U32" s="928"/>
      <c r="V32" s="1201"/>
      <c r="W32" s="1201"/>
      <c r="X32" s="1201"/>
      <c r="Y32" s="1201"/>
      <c r="Z32" s="1201"/>
      <c r="AA32" s="1201"/>
      <c r="AB32" s="1201"/>
      <c r="AC32" s="1201"/>
      <c r="AD32" s="1201"/>
      <c r="AE32" s="1201"/>
      <c r="AF32" s="1201"/>
      <c r="AG32" s="1201"/>
      <c r="AH32" s="1201"/>
      <c r="AI32" s="1202"/>
    </row>
    <row r="33" spans="4:64" ht="11.25" customHeight="1">
      <c r="D33" s="1190"/>
      <c r="E33" s="1192"/>
      <c r="F33" s="1192"/>
      <c r="G33" s="1196"/>
      <c r="H33" s="932"/>
      <c r="I33" s="1198"/>
      <c r="J33" s="1157"/>
      <c r="K33" s="368"/>
      <c r="L33" s="1142"/>
      <c r="M33" s="1142"/>
      <c r="N33" s="803"/>
      <c r="O33" s="803"/>
      <c r="P33" s="1201"/>
      <c r="Q33" s="1201"/>
      <c r="R33" s="1201"/>
      <c r="S33" s="1201"/>
      <c r="T33" s="1201"/>
      <c r="U33" s="1201"/>
      <c r="V33" s="1201"/>
      <c r="W33" s="1201"/>
      <c r="X33" s="1201"/>
      <c r="Y33" s="1201"/>
      <c r="Z33" s="1201"/>
      <c r="AA33" s="1201"/>
      <c r="AB33" s="1201"/>
      <c r="AC33" s="1201"/>
      <c r="AD33" s="1201"/>
      <c r="AE33" s="1201"/>
      <c r="AF33" s="1201"/>
      <c r="AG33" s="1201"/>
      <c r="AH33" s="1201"/>
      <c r="AI33" s="1202"/>
    </row>
    <row r="34" spans="4:64" s="905" customFormat="1" ht="11.25" customHeight="1">
      <c r="D34" s="1191"/>
      <c r="E34" s="1193"/>
      <c r="F34" s="1194"/>
      <c r="G34" s="1138"/>
      <c r="H34" s="929"/>
      <c r="I34" s="933"/>
      <c r="J34" s="1199"/>
      <c r="K34" s="1199"/>
      <c r="L34" s="1199"/>
      <c r="M34" s="1199"/>
      <c r="N34" s="1199"/>
      <c r="O34" s="1199"/>
      <c r="P34" s="1199"/>
      <c r="Q34" s="1199"/>
      <c r="R34" s="1199"/>
      <c r="S34" s="1199"/>
      <c r="T34" s="1199"/>
      <c r="U34" s="1199"/>
      <c r="V34" s="1199"/>
      <c r="W34" s="1199"/>
      <c r="X34" s="1199"/>
      <c r="Y34" s="1199"/>
      <c r="Z34" s="1199"/>
      <c r="AA34" s="1199"/>
      <c r="AB34" s="1199"/>
      <c r="AC34" s="1199"/>
      <c r="AD34" s="1199"/>
      <c r="AE34" s="1199"/>
      <c r="AF34" s="1199"/>
      <c r="AG34" s="1199"/>
      <c r="AH34" s="1199"/>
      <c r="AI34" s="1200"/>
      <c r="AJ34"/>
      <c r="AK34" s="56"/>
      <c r="AL34"/>
      <c r="AM34"/>
      <c r="AN34"/>
      <c r="AO34"/>
      <c r="AP34"/>
      <c r="AQ34"/>
      <c r="AR34"/>
      <c r="AS34"/>
      <c r="AT34"/>
      <c r="AU34"/>
      <c r="AV34"/>
      <c r="AW34"/>
      <c r="AX34"/>
      <c r="AY34"/>
      <c r="AZ34"/>
      <c r="BA34"/>
      <c r="BB34"/>
      <c r="BC34"/>
      <c r="BD34"/>
      <c r="BE34"/>
      <c r="BF34"/>
      <c r="BG34"/>
      <c r="BH34"/>
      <c r="BI34"/>
      <c r="BJ34"/>
      <c r="BK34"/>
      <c r="BL34"/>
    </row>
    <row r="35" spans="4:64" ht="14.25" customHeight="1">
      <c r="D35" s="1190" t="s">
        <v>111</v>
      </c>
      <c r="E35" s="1192" t="s">
        <v>285</v>
      </c>
      <c r="F35" s="1192" t="s">
        <v>290</v>
      </c>
      <c r="G35" s="1195" t="s">
        <v>57</v>
      </c>
      <c r="H35" s="930"/>
      <c r="I35" s="1197"/>
      <c r="J35" s="1156"/>
      <c r="K35" s="871"/>
      <c r="L35" s="1141"/>
      <c r="M35" s="1141"/>
      <c r="N35" s="924"/>
      <c r="O35" s="1141"/>
      <c r="P35" s="1156"/>
      <c r="Q35" s="871"/>
      <c r="R35" s="1141"/>
      <c r="S35" s="1141"/>
      <c r="T35" s="925"/>
      <c r="U35" s="1141"/>
      <c r="V35" s="1156"/>
      <c r="W35" s="800"/>
      <c r="X35" s="1141"/>
      <c r="Y35" s="1141"/>
      <c r="Z35" s="924"/>
      <c r="AA35" s="1141"/>
      <c r="AB35" s="1156"/>
      <c r="AC35" s="926"/>
      <c r="AD35" s="1141"/>
      <c r="AE35" s="1141"/>
      <c r="AF35" s="800"/>
      <c r="AG35" s="800"/>
      <c r="AH35" s="924"/>
      <c r="AI35" s="802"/>
    </row>
    <row r="36" spans="4:64" ht="14.25" customHeight="1">
      <c r="D36" s="1190"/>
      <c r="E36" s="1192"/>
      <c r="F36" s="1192"/>
      <c r="G36" s="1196"/>
      <c r="H36" s="931"/>
      <c r="I36" s="1198"/>
      <c r="J36" s="1157"/>
      <c r="K36" s="368"/>
      <c r="L36" s="1142"/>
      <c r="M36" s="1142"/>
      <c r="N36" s="42"/>
      <c r="O36" s="1142"/>
      <c r="P36" s="1157"/>
      <c r="Q36" s="409"/>
      <c r="R36" s="1142"/>
      <c r="S36" s="1142"/>
      <c r="T36" s="927"/>
      <c r="U36" s="1142"/>
      <c r="V36" s="1157"/>
      <c r="W36" s="214"/>
      <c r="X36" s="1142"/>
      <c r="Y36" s="1142"/>
      <c r="Z36" s="42"/>
      <c r="AA36" s="1142"/>
      <c r="AB36" s="1157"/>
      <c r="AC36" s="368"/>
      <c r="AD36" s="1142"/>
      <c r="AE36" s="1142"/>
      <c r="AF36" s="803"/>
      <c r="AG36" s="803"/>
      <c r="AH36" s="1201"/>
      <c r="AI36" s="1202"/>
    </row>
    <row r="37" spans="4:64" ht="14.25" customHeight="1">
      <c r="D37" s="1190"/>
      <c r="E37" s="1192"/>
      <c r="F37" s="1192"/>
      <c r="G37" s="1196"/>
      <c r="H37" s="931"/>
      <c r="I37" s="1198"/>
      <c r="J37" s="1157"/>
      <c r="K37" s="368"/>
      <c r="L37" s="1142"/>
      <c r="M37" s="1142"/>
      <c r="N37" s="42"/>
      <c r="O37" s="1142"/>
      <c r="P37" s="1157"/>
      <c r="Q37" s="409"/>
      <c r="R37" s="1142"/>
      <c r="S37" s="1142"/>
      <c r="T37" s="927"/>
      <c r="U37" s="1142"/>
      <c r="V37" s="1157"/>
      <c r="W37" s="214"/>
      <c r="X37" s="1142"/>
      <c r="Y37" s="1142"/>
      <c r="Z37" s="214"/>
      <c r="AA37" s="803"/>
      <c r="AB37" s="1201"/>
      <c r="AC37" s="1201"/>
      <c r="AD37" s="1201"/>
      <c r="AE37" s="1201"/>
      <c r="AF37" s="1201"/>
      <c r="AG37" s="1201"/>
      <c r="AH37" s="1201"/>
      <c r="AI37" s="1202"/>
    </row>
    <row r="38" spans="4:64" ht="14.25" customHeight="1">
      <c r="D38" s="1190"/>
      <c r="E38" s="1192"/>
      <c r="F38" s="1192"/>
      <c r="G38" s="1196"/>
      <c r="H38" s="931"/>
      <c r="I38" s="1198"/>
      <c r="J38" s="1157"/>
      <c r="K38" s="368"/>
      <c r="L38" s="1142"/>
      <c r="M38" s="1142"/>
      <c r="N38" s="42"/>
      <c r="O38" s="1142"/>
      <c r="P38" s="1157"/>
      <c r="Q38" s="409"/>
      <c r="R38" s="1142"/>
      <c r="S38" s="1142"/>
      <c r="T38" s="60"/>
      <c r="U38" s="928"/>
      <c r="V38" s="1201"/>
      <c r="W38" s="1201"/>
      <c r="X38" s="1201"/>
      <c r="Y38" s="1201"/>
      <c r="Z38" s="1201"/>
      <c r="AA38" s="1201"/>
      <c r="AB38" s="1201"/>
      <c r="AC38" s="1201"/>
      <c r="AD38" s="1201"/>
      <c r="AE38" s="1201"/>
      <c r="AF38" s="1201"/>
      <c r="AG38" s="1201"/>
      <c r="AH38" s="1201"/>
      <c r="AI38" s="1202"/>
    </row>
    <row r="39" spans="4:64" ht="11.25" customHeight="1">
      <c r="D39" s="1190"/>
      <c r="E39" s="1192"/>
      <c r="F39" s="1192"/>
      <c r="G39" s="1196"/>
      <c r="H39" s="932"/>
      <c r="I39" s="1198"/>
      <c r="J39" s="1157"/>
      <c r="K39" s="368"/>
      <c r="L39" s="1142"/>
      <c r="M39" s="1142"/>
      <c r="N39" s="803"/>
      <c r="O39" s="803"/>
      <c r="P39" s="1201"/>
      <c r="Q39" s="1201"/>
      <c r="R39" s="1201"/>
      <c r="S39" s="1201"/>
      <c r="T39" s="1201"/>
      <c r="U39" s="1201"/>
      <c r="V39" s="1201"/>
      <c r="W39" s="1201"/>
      <c r="X39" s="1201"/>
      <c r="Y39" s="1201"/>
      <c r="Z39" s="1201"/>
      <c r="AA39" s="1201"/>
      <c r="AB39" s="1201"/>
      <c r="AC39" s="1201"/>
      <c r="AD39" s="1201"/>
      <c r="AE39" s="1201"/>
      <c r="AF39" s="1201"/>
      <c r="AG39" s="1201"/>
      <c r="AH39" s="1201"/>
      <c r="AI39" s="1202"/>
    </row>
    <row r="40" spans="4:64" s="905" customFormat="1" ht="11.25" customHeight="1">
      <c r="D40" s="1190"/>
      <c r="E40" s="1192"/>
      <c r="F40" s="1203"/>
      <c r="G40" s="1138"/>
      <c r="H40" s="929"/>
      <c r="I40" s="933"/>
      <c r="J40" s="1199"/>
      <c r="K40" s="1199"/>
      <c r="L40" s="1199"/>
      <c r="M40" s="1199"/>
      <c r="N40" s="1199"/>
      <c r="O40" s="1199"/>
      <c r="P40" s="1199"/>
      <c r="Q40" s="1199"/>
      <c r="R40" s="1199"/>
      <c r="S40" s="1199"/>
      <c r="T40" s="1199"/>
      <c r="U40" s="1199"/>
      <c r="V40" s="1199"/>
      <c r="W40" s="1199"/>
      <c r="X40" s="1199"/>
      <c r="Y40" s="1199"/>
      <c r="Z40" s="1199"/>
      <c r="AA40" s="1199"/>
      <c r="AB40" s="1199"/>
      <c r="AC40" s="1199"/>
      <c r="AD40" s="1199"/>
      <c r="AE40" s="1199"/>
      <c r="AF40" s="1199"/>
      <c r="AG40" s="1199"/>
      <c r="AH40" s="1199"/>
      <c r="AI40" s="1200"/>
      <c r="AJ40"/>
      <c r="AK40" s="56"/>
      <c r="AL40"/>
      <c r="AM40"/>
      <c r="AN40"/>
      <c r="AO40"/>
      <c r="AP40"/>
      <c r="AQ40"/>
      <c r="AR40"/>
      <c r="AS40"/>
      <c r="AT40"/>
      <c r="AU40"/>
      <c r="AV40"/>
      <c r="AW40"/>
      <c r="AX40"/>
      <c r="AY40"/>
      <c r="AZ40"/>
      <c r="BA40"/>
      <c r="BB40"/>
      <c r="BC40"/>
      <c r="BD40"/>
      <c r="BE40"/>
      <c r="BF40"/>
      <c r="BG40"/>
      <c r="BH40"/>
      <c r="BI40"/>
      <c r="BJ40"/>
      <c r="BK40"/>
      <c r="BL40"/>
    </row>
    <row r="41" spans="4:64" ht="11.25" customHeight="1">
      <c r="AK41"/>
    </row>
    <row r="42" spans="4:64" ht="11.25" customHeight="1">
      <c r="AK42"/>
    </row>
    <row r="43" spans="4:64" ht="11.25" customHeight="1">
      <c r="AK43"/>
    </row>
    <row r="44" spans="4:64" ht="11.25" customHeight="1">
      <c r="AK44"/>
    </row>
    <row r="45" spans="4:64" ht="11.25" customHeight="1">
      <c r="AK45"/>
    </row>
    <row r="46" spans="4:64" ht="11.25" customHeight="1">
      <c r="AK46"/>
    </row>
    <row r="47" spans="4:64" ht="11.25" customHeight="1">
      <c r="AK47"/>
    </row>
    <row r="48" spans="4:64" ht="11.25" customHeight="1">
      <c r="AK48"/>
    </row>
    <row r="49" spans="37:37" ht="11.25" customHeight="1">
      <c r="AK49"/>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0000000}">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465CE9-E5CA-A553-B88C-2D1C1019A9A7}">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A306C6-A735-203A-6BAA-9EF50665C5BC}">
  <sheetPr>
    <tabColor rgb="FFEAEBEE"/>
    <pageSetUpPr fitToPage="1"/>
  </sheetPr>
  <dimension ref="A1:L15"/>
  <sheetViews>
    <sheetView showGridLines="0" topLeftCell="C4" zoomScale="90" workbookViewId="0"/>
  </sheetViews>
  <sheetFormatPr defaultColWidth="9.140625" defaultRowHeight="14.25" customHeight="1"/>
  <cols>
    <col min="1" max="1" width="9.140625" style="56" hidden="1"/>
    <col min="2" max="2" width="9.140625" style="43" hidden="1"/>
    <col min="3" max="3" width="3.7109375" style="57" customWidth="1"/>
    <col min="4" max="4" width="7" style="43" customWidth="1"/>
    <col min="5" max="5" width="23.140625" style="43" customWidth="1"/>
    <col min="6" max="6" width="16" style="43" customWidth="1"/>
    <col min="7" max="7" width="14.85546875" style="43" customWidth="1"/>
    <col min="8" max="8" width="47.85546875" style="43" customWidth="1"/>
    <col min="9" max="9" width="115.7109375" style="43" customWidth="1"/>
    <col min="10" max="10" width="3.7109375" style="43" customWidth="1"/>
    <col min="11" max="12" width="9.140625" style="43"/>
  </cols>
  <sheetData>
    <row r="1" spans="1:12" ht="14.25" hidden="1" customHeight="1"/>
    <row r="2" spans="1:12" ht="14.25" hidden="1" customHeight="1"/>
    <row r="3" spans="1:12" ht="14.25" hidden="1" customHeight="1"/>
    <row r="4" spans="1:12" ht="3" customHeight="1"/>
    <row r="5" spans="1:12" s="24" customFormat="1" ht="30" customHeight="1">
      <c r="A5" s="54"/>
      <c r="C5" s="29"/>
      <c r="D5" s="1109" t="s">
        <v>2117</v>
      </c>
      <c r="E5" s="1109"/>
      <c r="F5" s="1109"/>
      <c r="G5" s="1109"/>
      <c r="H5" s="1109"/>
      <c r="I5" s="160"/>
    </row>
    <row r="6" spans="1:12" ht="3" hidden="1" customHeight="1">
      <c r="D6" s="10"/>
      <c r="E6" s="10"/>
      <c r="F6" s="10"/>
      <c r="G6" s="10"/>
      <c r="H6" s="10"/>
      <c r="I6" s="10"/>
    </row>
    <row r="7" spans="1:12" s="56" customFormat="1" ht="14.25" customHeight="1">
      <c r="B7" s="43"/>
      <c r="C7" s="57"/>
      <c r="D7" s="58"/>
      <c r="E7" s="58"/>
      <c r="F7" s="58"/>
      <c r="G7" s="58"/>
      <c r="H7" s="463"/>
      <c r="I7" s="58"/>
      <c r="J7" s="59"/>
    </row>
    <row r="8" spans="1:12" ht="14.25" customHeight="1">
      <c r="D8" s="1213" t="s">
        <v>292</v>
      </c>
      <c r="E8" s="1213"/>
      <c r="F8" s="1213"/>
      <c r="G8" s="1213"/>
      <c r="H8" s="1213"/>
      <c r="I8" s="1213" t="s">
        <v>293</v>
      </c>
    </row>
    <row r="9" spans="1:12" ht="27.75" customHeight="1">
      <c r="D9" s="1213" t="s">
        <v>88</v>
      </c>
      <c r="E9" s="1213" t="s">
        <v>2118</v>
      </c>
      <c r="F9" s="1213"/>
      <c r="G9" s="1213"/>
      <c r="H9" s="1213"/>
      <c r="I9" s="1213"/>
    </row>
    <row r="10" spans="1:12" ht="22.5" customHeight="1">
      <c r="D10" s="1213"/>
      <c r="E10" s="45" t="s">
        <v>2119</v>
      </c>
      <c r="F10" s="45" t="s">
        <v>2120</v>
      </c>
      <c r="G10" s="45" t="s">
        <v>2121</v>
      </c>
      <c r="H10" s="45" t="s">
        <v>384</v>
      </c>
      <c r="I10" s="1213"/>
    </row>
    <row r="11" spans="1:12" ht="12" hidden="1" customHeight="1">
      <c r="D11" s="28" t="s">
        <v>109</v>
      </c>
      <c r="E11" s="28" t="s">
        <v>91</v>
      </c>
      <c r="F11" s="28" t="s">
        <v>111</v>
      </c>
      <c r="G11" s="28" t="s">
        <v>92</v>
      </c>
      <c r="H11" s="28" t="s">
        <v>93</v>
      </c>
      <c r="I11" s="28" t="s">
        <v>112</v>
      </c>
    </row>
    <row r="12" spans="1:12" s="43" customFormat="1" ht="24.75" customHeight="1">
      <c r="A12" s="71" t="s">
        <v>90</v>
      </c>
      <c r="B12" s="43" t="s">
        <v>17</v>
      </c>
      <c r="C12" s="60"/>
      <c r="D12" s="52" t="s">
        <v>109</v>
      </c>
      <c r="E12" s="233"/>
      <c r="F12" s="233"/>
      <c r="G12" s="990" t="s">
        <v>17</v>
      </c>
      <c r="H12" s="122"/>
      <c r="I12" s="1169" t="s">
        <v>2122</v>
      </c>
      <c r="K12" s="166"/>
      <c r="L12" s="111"/>
    </row>
    <row r="13" spans="1:12" ht="15" customHeight="1">
      <c r="A13" s="43"/>
      <c r="C13" s="43"/>
      <c r="D13" s="49"/>
      <c r="E13" s="62" t="s">
        <v>1542</v>
      </c>
      <c r="F13" s="61"/>
      <c r="G13" s="61"/>
      <c r="H13" s="114"/>
      <c r="I13" s="1171"/>
    </row>
    <row r="14" spans="1:12" ht="3" customHeight="1">
      <c r="A14" s="43"/>
      <c r="C14" s="43"/>
    </row>
    <row r="15" spans="1:12" ht="27.75" customHeight="1">
      <c r="E15" s="1497" t="s">
        <v>2123</v>
      </c>
      <c r="F15" s="1497"/>
      <c r="G15" s="1497"/>
      <c r="H15" s="1497"/>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xr:uid="{00000000-0002-0000-3C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xr:uid="{00000000-0002-0000-3C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C00-000002000000}"/>
  </dataValidations>
  <printOptions horizontalCentered="1"/>
  <pageMargins left="0.24" right="0.24" top="0.24" bottom="0.24" header="0.24" footer="0.24"/>
  <pageSetup paperSize="9" scale="67" fitToHeight="0" orientation="landscape"/>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E5A9EB-0F6F-5096-0EE6-2502C4883C04}">
  <sheetPr>
    <tabColor rgb="FFCCCCFF"/>
    <pageSetUpPr fitToPage="1"/>
  </sheetPr>
  <dimension ref="A1:I15"/>
  <sheetViews>
    <sheetView showGridLines="0" topLeftCell="C6" zoomScale="90" workbookViewId="0"/>
  </sheetViews>
  <sheetFormatPr defaultColWidth="9.140625" defaultRowHeight="14.25" customHeight="1"/>
  <cols>
    <col min="1" max="2" width="9.140625" style="9" hidden="1"/>
    <col min="3" max="3" width="3.7109375" style="31" customWidth="1"/>
    <col min="4" max="4" width="6.28515625" style="9" customWidth="1"/>
    <col min="5" max="5" width="94.85546875" style="9" customWidth="1"/>
    <col min="6" max="9" width="9.140625" style="9"/>
  </cols>
  <sheetData>
    <row r="1" spans="3:9" ht="14.25" hidden="1" customHeight="1"/>
    <row r="2" spans="3:9" ht="14.25" hidden="1" customHeight="1"/>
    <row r="3" spans="3:9" ht="14.25" hidden="1" customHeight="1"/>
    <row r="4" spans="3:9" ht="14.25" hidden="1" customHeight="1"/>
    <row r="5" spans="3:9" ht="14.25" hidden="1" customHeight="1"/>
    <row r="6" spans="3:9" ht="3" customHeight="1">
      <c r="C6" s="32"/>
      <c r="D6" s="10"/>
      <c r="E6" s="10"/>
    </row>
    <row r="7" spans="3:9" ht="22.5" customHeight="1">
      <c r="C7" s="32"/>
      <c r="D7" s="1498" t="s">
        <v>2124</v>
      </c>
      <c r="E7" s="1499"/>
      <c r="F7" s="161"/>
    </row>
    <row r="8" spans="3:9" ht="3" customHeight="1">
      <c r="C8" s="32"/>
      <c r="D8" s="10"/>
      <c r="E8" s="10"/>
    </row>
    <row r="9" spans="3:9" ht="15.75" customHeight="1">
      <c r="C9" s="32"/>
      <c r="D9" s="45" t="s">
        <v>88</v>
      </c>
      <c r="E9" s="50" t="s">
        <v>2125</v>
      </c>
    </row>
    <row r="10" spans="3:9" ht="12" customHeight="1">
      <c r="C10" s="32"/>
      <c r="D10" s="28" t="s">
        <v>109</v>
      </c>
      <c r="E10" s="28" t="s">
        <v>110</v>
      </c>
    </row>
    <row r="11" spans="3:9" ht="11.25" hidden="1" customHeight="1">
      <c r="C11" s="32"/>
      <c r="D11" s="75">
        <v>0</v>
      </c>
      <c r="E11" s="158"/>
    </row>
    <row r="12" spans="3:9" ht="15" customHeight="1">
      <c r="C12" s="29"/>
      <c r="D12" s="53">
        <v>1</v>
      </c>
      <c r="E12" s="233"/>
    </row>
    <row r="13" spans="3:9" ht="12" customHeight="1">
      <c r="C13" s="32"/>
      <c r="D13" s="159"/>
      <c r="E13" s="47" t="s">
        <v>2126</v>
      </c>
    </row>
    <row r="14" spans="3:9" ht="3" customHeight="1"/>
    <row r="15" spans="3:9" ht="22.5" customHeight="1">
      <c r="C15" s="66"/>
      <c r="D15" s="1497" t="s">
        <v>2127</v>
      </c>
      <c r="E15" s="1497"/>
      <c r="F15" s="67"/>
      <c r="G15" s="67"/>
      <c r="H15" s="67"/>
      <c r="I15" s="67"/>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D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AD00F9-00B1-9954-7765-3159F13841EB}">
  <dimension ref="A1:I24"/>
  <sheetViews>
    <sheetView showGridLines="0" topLeftCell="C4" zoomScale="90" workbookViewId="0"/>
  </sheetViews>
  <sheetFormatPr defaultColWidth="9.140625" defaultRowHeight="11.25" customHeight="1"/>
  <cols>
    <col min="1" max="2" width="15" style="313" hidden="1" customWidth="1"/>
    <col min="3" max="3" width="3.7109375" style="277" customWidth="1"/>
    <col min="4" max="4" width="6.85546875" style="278" customWidth="1"/>
    <col min="5" max="5" width="52.28515625" style="277" customWidth="1"/>
    <col min="6" max="6" width="48.85546875" style="277" customWidth="1"/>
    <col min="7" max="7" width="93.42578125" style="277" customWidth="1"/>
    <col min="8" max="8" width="9.140625" style="277"/>
    <col min="9" max="9" width="65" style="277" customWidth="1"/>
  </cols>
  <sheetData>
    <row r="1" spans="1:9" ht="11.25" hidden="1" customHeight="1">
      <c r="A1" s="313" t="s">
        <v>291</v>
      </c>
    </row>
    <row r="2" spans="1:9" ht="22.5" hidden="1" customHeight="1">
      <c r="A2" s="314"/>
      <c r="B2" s="314"/>
      <c r="C2" s="25"/>
      <c r="D2" s="873"/>
      <c r="E2" s="233"/>
      <c r="F2" s="553"/>
      <c r="H2" s="293"/>
    </row>
    <row r="3" spans="1:9" ht="11.25" hidden="1" customHeight="1"/>
    <row r="4" spans="1:9" ht="11.25" customHeight="1">
      <c r="A4" s="900"/>
      <c r="B4" s="900"/>
    </row>
    <row r="5" spans="1:9" ht="36.75" customHeight="1">
      <c r="D5" s="1116" t="str">
        <f>"Форма 1. Информация об органе регулирования тарифов в сфере "&amp;IF(TEMPLATE_SPHERE="HEAT","теплоснабжения","водоснабжения и водоотведения")&amp;" (далее – орган регулирования тарифов)"</f>
        <v>Форма 1. Информация об органе регулирования тарифов в сфере теплоснабжения (далее – орган регулирования тарифов)</v>
      </c>
      <c r="E5" s="1117"/>
      <c r="F5" s="1118"/>
      <c r="I5" s="439"/>
    </row>
    <row r="6" spans="1:9" ht="17.25" customHeight="1">
      <c r="D6" s="1215" t="str">
        <f>IF(region_name=0,"Не определено",region_name)</f>
        <v>Нижегородская область</v>
      </c>
      <c r="E6" s="1215"/>
      <c r="F6" s="1215"/>
      <c r="I6" s="439"/>
    </row>
    <row r="7" spans="1:9" s="295" customFormat="1" ht="11.25" customHeight="1">
      <c r="A7" s="313"/>
      <c r="B7" s="313"/>
      <c r="D7" s="438"/>
      <c r="E7" s="438"/>
      <c r="F7" s="463"/>
      <c r="G7" s="438"/>
    </row>
    <row r="8" spans="1:9" ht="11.25" hidden="1" customHeight="1">
      <c r="A8" s="314"/>
      <c r="B8" s="314"/>
      <c r="C8" s="25"/>
      <c r="D8" s="35"/>
      <c r="E8" s="1211"/>
      <c r="F8" s="1211"/>
    </row>
    <row r="9" spans="1:9" ht="11.25" customHeight="1">
      <c r="A9" s="314"/>
      <c r="B9" s="314"/>
      <c r="C9" s="25"/>
      <c r="D9" s="1207" t="s">
        <v>292</v>
      </c>
      <c r="E9" s="1208"/>
      <c r="F9" s="1208"/>
      <c r="G9" s="1212" t="s">
        <v>293</v>
      </c>
    </row>
    <row r="10" spans="1:9" ht="11.25" customHeight="1">
      <c r="A10" s="314"/>
      <c r="B10" s="314"/>
      <c r="C10" s="25"/>
      <c r="D10" s="291" t="s">
        <v>88</v>
      </c>
      <c r="E10" s="275" t="s">
        <v>294</v>
      </c>
      <c r="F10" s="275" t="s">
        <v>295</v>
      </c>
      <c r="G10" s="1213"/>
    </row>
    <row r="11" spans="1:9" ht="12" customHeight="1">
      <c r="A11" s="314"/>
      <c r="B11" s="314"/>
      <c r="C11" s="25"/>
      <c r="D11" s="284"/>
      <c r="E11" s="284"/>
      <c r="F11" s="284"/>
      <c r="G11" s="284"/>
    </row>
    <row r="12" spans="1:9" ht="22.5" customHeight="1">
      <c r="A12" s="314"/>
      <c r="B12" s="314"/>
      <c r="C12" s="25"/>
      <c r="D12" s="873">
        <v>1</v>
      </c>
      <c r="E12" s="292" t="s">
        <v>2128</v>
      </c>
      <c r="F12" s="233"/>
      <c r="G12" s="292" t="s">
        <v>2129</v>
      </c>
      <c r="H12" s="879"/>
    </row>
    <row r="13" spans="1:9" ht="18.75" customHeight="1">
      <c r="A13" s="314"/>
      <c r="B13" s="314"/>
      <c r="C13" s="25"/>
      <c r="D13" s="873">
        <v>2</v>
      </c>
      <c r="E13" s="755" t="s">
        <v>2130</v>
      </c>
      <c r="F13" s="50" t="s">
        <v>298</v>
      </c>
      <c r="G13" s="292"/>
      <c r="H13" s="879"/>
    </row>
    <row r="14" spans="1:9" ht="18.75" customHeight="1">
      <c r="A14" s="314"/>
      <c r="B14" s="314"/>
      <c r="C14" s="25"/>
      <c r="D14" s="874" t="s">
        <v>505</v>
      </c>
      <c r="E14" s="348" t="s">
        <v>2131</v>
      </c>
      <c r="F14" s="233"/>
      <c r="G14" s="76" t="s">
        <v>2132</v>
      </c>
      <c r="H14" s="879"/>
    </row>
    <row r="15" spans="1:9" ht="18.75" customHeight="1">
      <c r="A15" s="314"/>
      <c r="B15" s="314"/>
      <c r="C15" s="25"/>
      <c r="D15" s="874" t="s">
        <v>299</v>
      </c>
      <c r="E15" s="348" t="s">
        <v>2133</v>
      </c>
      <c r="F15" s="233"/>
      <c r="G15" s="76" t="s">
        <v>2134</v>
      </c>
      <c r="H15" s="879"/>
    </row>
    <row r="16" spans="1:9" ht="36.75" customHeight="1">
      <c r="A16" s="314"/>
      <c r="B16" s="314"/>
      <c r="C16" s="25"/>
      <c r="D16" s="874" t="s">
        <v>302</v>
      </c>
      <c r="E16" s="187" t="s">
        <v>2135</v>
      </c>
      <c r="F16" s="46"/>
      <c r="G16" s="292" t="s">
        <v>2136</v>
      </c>
      <c r="H16" s="879"/>
    </row>
    <row r="17" spans="1:9" ht="45" customHeight="1">
      <c r="A17" s="314"/>
      <c r="B17" s="314"/>
      <c r="C17" s="25"/>
      <c r="D17" s="873">
        <v>3</v>
      </c>
      <c r="E17" s="755" t="s">
        <v>2137</v>
      </c>
      <c r="F17" s="233"/>
      <c r="G17" s="292" t="s">
        <v>2138</v>
      </c>
      <c r="H17" s="879"/>
    </row>
    <row r="18" spans="1:9" ht="45" customHeight="1">
      <c r="A18" s="856">
        <v>1</v>
      </c>
      <c r="B18" s="314"/>
      <c r="C18" s="857"/>
      <c r="D18" s="873" t="s">
        <v>91</v>
      </c>
      <c r="E18" s="755" t="s">
        <v>2139</v>
      </c>
      <c r="F18" s="233"/>
      <c r="G18" s="292" t="s">
        <v>2138</v>
      </c>
      <c r="H18" s="879"/>
      <c r="I18" s="524"/>
    </row>
    <row r="19" spans="1:9" ht="22.5" customHeight="1">
      <c r="A19" s="314"/>
      <c r="B19" s="314"/>
      <c r="C19" s="25"/>
      <c r="D19" s="873" t="s">
        <v>111</v>
      </c>
      <c r="E19" s="755" t="s">
        <v>2140</v>
      </c>
      <c r="F19" s="50" t="s">
        <v>298</v>
      </c>
      <c r="G19" s="1500" t="s">
        <v>2141</v>
      </c>
      <c r="H19" s="293"/>
    </row>
    <row r="20" spans="1:9" s="877" customFormat="1" ht="5.25" hidden="1" customHeight="1">
      <c r="A20" s="314"/>
      <c r="B20" s="314"/>
      <c r="C20" s="876"/>
      <c r="D20" s="875" t="s">
        <v>1625</v>
      </c>
      <c r="E20" s="635"/>
      <c r="F20" s="341"/>
      <c r="G20" s="1501"/>
    </row>
    <row r="21" spans="1:9" ht="15" customHeight="1">
      <c r="A21" s="314"/>
      <c r="B21" s="314"/>
      <c r="C21" s="25"/>
      <c r="D21" s="286"/>
      <c r="E21" s="116" t="s">
        <v>333</v>
      </c>
      <c r="F21" s="288"/>
      <c r="G21" s="1502"/>
      <c r="H21" s="879"/>
    </row>
    <row r="22" spans="1:9" s="313" customFormat="1" ht="24.75" customHeight="1">
      <c r="A22" s="314"/>
      <c r="B22" s="314"/>
      <c r="C22" s="314"/>
      <c r="D22" s="873" t="s">
        <v>92</v>
      </c>
      <c r="E22" s="292" t="s">
        <v>2142</v>
      </c>
      <c r="F22" s="233"/>
      <c r="G22" s="292" t="s">
        <v>2143</v>
      </c>
      <c r="H22" s="878"/>
    </row>
    <row r="23" spans="1:9" s="313" customFormat="1" ht="18.75" customHeight="1">
      <c r="A23" s="314"/>
      <c r="B23" s="314"/>
      <c r="C23" s="314"/>
      <c r="D23" s="873" t="s">
        <v>93</v>
      </c>
      <c r="E23" s="755" t="s">
        <v>2144</v>
      </c>
      <c r="F23" s="46"/>
      <c r="G23" s="292" t="s">
        <v>2145</v>
      </c>
      <c r="H23" s="878"/>
    </row>
    <row r="24" spans="1:9" ht="11.25" customHeight="1">
      <c r="A24" s="314"/>
      <c r="B24" s="314"/>
      <c r="C24" s="25"/>
    </row>
  </sheetData>
  <sheetProtection formatColumns="0" formatRows="0" insertRows="0" deleteColumns="0" deleteRows="0" sort="0" autoFilter="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xr:uid="{00000000-0002-0000-3E00-000000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8C85C8-04FA-7335-5471-733205CB0844}">
  <dimension ref="A1:IT23"/>
  <sheetViews>
    <sheetView showGridLines="0" topLeftCell="D4" zoomScale="90" workbookViewId="0"/>
  </sheetViews>
  <sheetFormatPr defaultColWidth="9.140625" defaultRowHeight="14.25" customHeight="1"/>
  <cols>
    <col min="1" max="1" width="9.140625" style="24" hidden="1"/>
    <col min="2" max="2" width="9.140625" style="72" hidden="1"/>
    <col min="3" max="3" width="3.7109375" style="24" hidden="1" customWidth="1"/>
    <col min="4" max="4" width="3.85546875" style="86" customWidth="1"/>
    <col min="5" max="5" width="6.28515625" style="24" customWidth="1"/>
    <col min="6" max="6" width="46.7109375" style="24" customWidth="1"/>
    <col min="7" max="8" width="16.7109375" style="24" customWidth="1"/>
    <col min="9" max="9" width="35.28515625" style="24" customWidth="1"/>
    <col min="10" max="10" width="89.5703125" style="24" customWidth="1"/>
    <col min="11" max="11" width="3.7109375" style="79" customWidth="1"/>
    <col min="12" max="14" width="9.140625" style="79"/>
    <col min="15" max="15" width="25.7109375" style="79" customWidth="1"/>
    <col min="16" max="16" width="14.42578125" style="79" customWidth="1"/>
    <col min="17" max="20" width="9.140625" style="131"/>
    <col min="21" max="254" width="9.140625" style="24"/>
  </cols>
  <sheetData>
    <row r="1" spans="1:254" ht="14.25" hidden="1" customHeight="1"/>
    <row r="2" spans="1:254" ht="22.5" hidden="1" customHeight="1">
      <c r="A2" s="89"/>
      <c r="B2" s="72">
        <v>1</v>
      </c>
      <c r="C2" s="72"/>
      <c r="D2" s="496"/>
      <c r="E2" s="50"/>
      <c r="F2" s="118"/>
      <c r="G2" s="118"/>
      <c r="H2" s="118"/>
      <c r="I2" s="884"/>
      <c r="J2" s="133"/>
      <c r="K2" s="881" t="e">
        <f ca="1">MERGEVALUE(F2)</f>
        <v>#NAME?</v>
      </c>
      <c r="L2" s="77"/>
      <c r="M2" s="77"/>
      <c r="N2" s="79" t="str">
        <f t="array" ref="N2">IF(ISERROR(MATCH(MID(O2,1,250),MID(note_ter,1,250),0)),"n","y")</f>
        <v>n</v>
      </c>
      <c r="O2" s="77"/>
      <c r="P2" s="79" t="str">
        <f>G2&amp;"("&amp;J2&amp;")"</f>
        <v>()</v>
      </c>
      <c r="Q2" s="72"/>
      <c r="R2" s="72"/>
      <c r="S2" s="258"/>
      <c r="T2" s="72"/>
      <c r="U2" s="72"/>
      <c r="V2" s="72"/>
      <c r="W2" s="71"/>
      <c r="X2" s="71"/>
      <c r="Y2" s="111"/>
      <c r="Z2" s="111"/>
      <c r="AA2" s="111"/>
      <c r="AB2" s="111"/>
      <c r="AC2" s="111"/>
      <c r="AD2" s="111"/>
      <c r="AE2" s="111"/>
      <c r="AF2" s="111"/>
      <c r="AG2" s="111"/>
      <c r="AH2" s="111"/>
      <c r="AI2" s="111"/>
      <c r="AJ2" s="111"/>
      <c r="AK2" s="111"/>
      <c r="AL2" s="111"/>
      <c r="AM2" s="111"/>
      <c r="AN2" s="111"/>
      <c r="AO2" s="111"/>
      <c r="AP2" s="111"/>
      <c r="AQ2" s="111"/>
      <c r="AR2" s="111"/>
      <c r="AS2" s="111"/>
      <c r="AT2" s="111"/>
      <c r="AU2" s="111"/>
      <c r="AV2" s="111"/>
      <c r="AW2" s="111"/>
      <c r="AX2" s="111"/>
      <c r="AY2" s="111"/>
      <c r="AZ2" s="111"/>
      <c r="BA2" s="111"/>
      <c r="BB2" s="111"/>
      <c r="BC2" s="111"/>
      <c r="BD2" s="111"/>
      <c r="BE2" s="111"/>
      <c r="BF2" s="111"/>
      <c r="BG2" s="111"/>
      <c r="BH2" s="111"/>
      <c r="BI2" s="111"/>
      <c r="BJ2" s="111"/>
      <c r="BK2" s="111"/>
      <c r="BL2" s="111"/>
      <c r="BM2" s="111"/>
      <c r="BN2" s="111"/>
      <c r="BO2" s="111"/>
      <c r="BP2" s="111"/>
      <c r="BQ2" s="111"/>
      <c r="BR2" s="111"/>
      <c r="BS2" s="111"/>
      <c r="BT2" s="71"/>
      <c r="BU2" s="71"/>
      <c r="BV2" s="71"/>
      <c r="BW2" s="71"/>
      <c r="BX2" s="71"/>
      <c r="BY2" s="71"/>
      <c r="BZ2" s="71"/>
      <c r="CA2" s="71"/>
      <c r="CB2" s="71"/>
      <c r="CC2" s="71"/>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row>
    <row r="3" spans="1:254" s="77" customFormat="1" ht="5.25" hidden="1" customHeight="1">
      <c r="A3" s="216"/>
      <c r="D3" s="127"/>
      <c r="F3" s="150" t="s">
        <v>83</v>
      </c>
      <c r="G3" s="127" t="s">
        <v>84</v>
      </c>
      <c r="H3" s="127"/>
      <c r="I3" s="127"/>
      <c r="J3" s="132" t="s">
        <v>85</v>
      </c>
      <c r="K3" s="150" t="s">
        <v>83</v>
      </c>
      <c r="L3" s="150"/>
      <c r="M3" s="150"/>
      <c r="N3" s="150"/>
      <c r="O3" s="150"/>
      <c r="P3" s="150"/>
      <c r="Q3" s="150"/>
      <c r="R3" s="150"/>
      <c r="S3" s="150"/>
      <c r="T3" s="150"/>
      <c r="U3" s="132"/>
      <c r="V3" s="132"/>
      <c r="W3" s="132"/>
      <c r="X3" s="132"/>
      <c r="Y3" s="132"/>
      <c r="Z3" s="132"/>
      <c r="AA3" s="132"/>
      <c r="AB3" s="132"/>
      <c r="AC3" s="132"/>
      <c r="AD3" s="132"/>
      <c r="AE3" s="132"/>
      <c r="AF3" s="132"/>
      <c r="AG3" s="132"/>
      <c r="AH3" s="132"/>
      <c r="AI3" s="132"/>
      <c r="AJ3" s="132"/>
      <c r="AK3" s="132"/>
      <c r="AL3" s="132"/>
      <c r="AM3" s="132"/>
      <c r="AN3" s="132"/>
      <c r="AO3" s="132"/>
      <c r="AP3" s="132"/>
      <c r="AQ3" s="132"/>
      <c r="AR3" s="132"/>
      <c r="AS3" s="132"/>
      <c r="AT3" s="132"/>
      <c r="AU3" s="132"/>
      <c r="AV3" s="132"/>
      <c r="AW3" s="132"/>
      <c r="AX3" s="132"/>
      <c r="AY3" s="132"/>
      <c r="AZ3" s="132"/>
      <c r="BA3" s="132"/>
      <c r="BB3" s="132"/>
      <c r="BC3" s="132"/>
      <c r="BD3" s="132"/>
      <c r="BE3" s="132"/>
      <c r="BF3" s="132"/>
      <c r="BG3" s="132"/>
      <c r="BH3" s="132"/>
      <c r="BI3" s="132"/>
      <c r="BJ3" s="132"/>
      <c r="BK3" s="132"/>
      <c r="BL3" s="132"/>
      <c r="BM3" s="132"/>
      <c r="BN3" s="132"/>
      <c r="BO3" s="132"/>
      <c r="BP3" s="132"/>
      <c r="BQ3" s="132"/>
      <c r="BR3" s="132"/>
      <c r="BS3" s="132"/>
      <c r="BT3" s="132"/>
      <c r="BU3" s="132"/>
      <c r="BV3" s="132"/>
      <c r="BW3" s="132"/>
      <c r="BX3" s="132"/>
      <c r="BY3" s="132"/>
      <c r="BZ3" s="132"/>
      <c r="CA3" s="132"/>
      <c r="CB3" s="132"/>
      <c r="CC3" s="132"/>
      <c r="CD3" s="132"/>
      <c r="CE3" s="132"/>
      <c r="CF3" s="132"/>
      <c r="CG3" s="132"/>
      <c r="CH3" s="132"/>
      <c r="CI3" s="132"/>
      <c r="CJ3" s="132"/>
      <c r="CK3" s="132"/>
      <c r="CL3" s="132"/>
      <c r="CM3" s="132"/>
      <c r="CN3" s="132"/>
      <c r="CO3" s="132"/>
      <c r="CP3" s="132"/>
      <c r="CQ3" s="132"/>
      <c r="CR3" s="132"/>
      <c r="CS3" s="132"/>
      <c r="CT3" s="132"/>
      <c r="CU3" s="132"/>
      <c r="CV3" s="132"/>
      <c r="CW3" s="132"/>
      <c r="CX3" s="132"/>
      <c r="CY3" s="132"/>
      <c r="CZ3" s="132"/>
      <c r="DA3" s="132"/>
      <c r="DB3" s="132"/>
      <c r="DC3" s="132"/>
      <c r="DD3" s="132"/>
      <c r="DE3" s="132"/>
      <c r="DF3" s="132"/>
      <c r="DG3" s="132"/>
      <c r="DH3" s="132"/>
      <c r="DI3" s="132"/>
      <c r="DJ3" s="132"/>
      <c r="DK3" s="132"/>
      <c r="DL3" s="132"/>
      <c r="DM3" s="132"/>
      <c r="DN3" s="132"/>
      <c r="DO3" s="132"/>
      <c r="DP3" s="132"/>
      <c r="DQ3" s="132"/>
      <c r="DR3" s="132"/>
      <c r="DS3" s="132"/>
      <c r="DT3" s="132"/>
      <c r="DU3" s="132"/>
      <c r="DV3" s="132"/>
      <c r="DW3" s="132"/>
      <c r="DX3" s="132"/>
      <c r="DY3" s="132"/>
      <c r="DZ3" s="132"/>
      <c r="EA3" s="132"/>
      <c r="EB3" s="132"/>
      <c r="EC3" s="132"/>
      <c r="ED3" s="132"/>
      <c r="EE3" s="132"/>
      <c r="EF3" s="132"/>
      <c r="EG3" s="132"/>
      <c r="EH3" s="132"/>
      <c r="EI3" s="132"/>
      <c r="EJ3" s="132"/>
      <c r="EK3" s="132"/>
      <c r="EL3" s="132"/>
      <c r="EM3" s="132"/>
      <c r="EN3" s="132"/>
      <c r="EO3" s="132"/>
      <c r="EP3" s="132"/>
      <c r="EQ3" s="132"/>
      <c r="ER3" s="132"/>
      <c r="ES3" s="132"/>
      <c r="ET3" s="132"/>
      <c r="EU3" s="132"/>
      <c r="EV3" s="132"/>
      <c r="EW3" s="132"/>
      <c r="EX3" s="132"/>
      <c r="EY3" s="132"/>
      <c r="EZ3" s="132"/>
      <c r="FA3" s="132"/>
      <c r="FB3" s="132"/>
      <c r="FC3" s="132"/>
      <c r="FD3" s="132"/>
      <c r="FE3" s="132"/>
      <c r="FF3" s="132"/>
      <c r="FG3" s="132"/>
      <c r="FH3" s="132"/>
      <c r="FI3" s="132"/>
      <c r="FJ3" s="132"/>
      <c r="FK3" s="132"/>
      <c r="FL3" s="132"/>
      <c r="FM3" s="132"/>
      <c r="FN3" s="132"/>
      <c r="FO3" s="132"/>
      <c r="FP3" s="132"/>
      <c r="FQ3" s="132"/>
      <c r="FR3" s="132"/>
      <c r="FS3" s="132"/>
      <c r="FT3" s="132"/>
      <c r="FU3" s="132"/>
      <c r="FV3" s="132"/>
      <c r="FW3" s="132"/>
      <c r="FX3" s="132"/>
      <c r="FY3" s="132"/>
      <c r="FZ3" s="132"/>
      <c r="GA3" s="132"/>
      <c r="GB3" s="132"/>
      <c r="GC3" s="132"/>
      <c r="GD3" s="132"/>
      <c r="GE3" s="132"/>
      <c r="GF3" s="132"/>
      <c r="GG3" s="132"/>
      <c r="GH3" s="132"/>
      <c r="GI3" s="132"/>
      <c r="GJ3" s="132"/>
      <c r="GK3" s="132"/>
      <c r="GL3" s="132"/>
      <c r="GM3" s="132"/>
      <c r="GN3" s="132"/>
      <c r="GO3" s="132"/>
      <c r="GP3" s="132"/>
      <c r="GQ3" s="132"/>
      <c r="GR3" s="132"/>
      <c r="GS3" s="132"/>
      <c r="GT3" s="132"/>
      <c r="GU3" s="132"/>
      <c r="GV3" s="132"/>
      <c r="GW3" s="132"/>
      <c r="GX3" s="132"/>
      <c r="GY3" s="132"/>
      <c r="GZ3" s="132"/>
      <c r="HA3" s="132"/>
      <c r="HB3" s="132"/>
      <c r="HC3" s="132"/>
      <c r="HD3" s="132"/>
      <c r="HE3" s="132"/>
      <c r="HF3" s="132"/>
      <c r="HG3" s="132"/>
      <c r="HH3" s="132"/>
      <c r="HI3" s="132"/>
      <c r="HJ3" s="132"/>
      <c r="HK3" s="132"/>
      <c r="HL3" s="132"/>
      <c r="HM3" s="132"/>
      <c r="HN3" s="132"/>
      <c r="HO3" s="132"/>
      <c r="HP3" s="132"/>
      <c r="HQ3" s="132"/>
      <c r="HR3" s="132"/>
      <c r="HS3" s="132"/>
      <c r="HT3" s="132"/>
      <c r="HU3" s="132"/>
      <c r="HV3" s="132"/>
      <c r="HW3" s="132"/>
      <c r="HX3" s="132"/>
      <c r="HY3" s="132"/>
      <c r="HZ3" s="132"/>
      <c r="IA3" s="132"/>
      <c r="IB3" s="132"/>
      <c r="IC3" s="132"/>
      <c r="ID3" s="132"/>
      <c r="IE3" s="132"/>
      <c r="IF3" s="132"/>
      <c r="IG3" s="132"/>
      <c r="IH3" s="132"/>
      <c r="II3" s="132"/>
      <c r="IJ3" s="132"/>
      <c r="IK3" s="132"/>
      <c r="IL3" s="132"/>
      <c r="IM3" s="132"/>
      <c r="IN3" s="132"/>
      <c r="IO3" s="132"/>
      <c r="IP3" s="132"/>
      <c r="IQ3" s="132"/>
      <c r="IR3" s="132"/>
      <c r="IS3" s="132"/>
      <c r="IT3" s="132"/>
    </row>
    <row r="4" spans="1:254" s="55" customFormat="1" ht="14.25" customHeight="1">
      <c r="A4" s="24"/>
      <c r="B4" s="72"/>
      <c r="C4" s="24"/>
      <c r="D4" s="86"/>
      <c r="E4" s="24"/>
      <c r="F4" s="24"/>
      <c r="G4" s="24"/>
      <c r="H4" s="24"/>
      <c r="I4" s="24"/>
      <c r="J4" s="87"/>
      <c r="K4" s="150"/>
      <c r="L4" s="79"/>
      <c r="M4" s="79"/>
      <c r="N4" s="79"/>
      <c r="O4" s="79"/>
      <c r="P4" s="79"/>
      <c r="Q4" s="131"/>
      <c r="R4" s="131"/>
      <c r="S4" s="131"/>
      <c r="T4" s="131"/>
    </row>
    <row r="5" spans="1:254" s="55" customFormat="1" ht="25.5" customHeight="1">
      <c r="A5" s="24"/>
      <c r="B5" s="72"/>
      <c r="C5" s="24"/>
      <c r="D5" s="86"/>
      <c r="E5" s="1109"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водоснабжения и водоотведения")</f>
        <v>Форма 2.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109"/>
      <c r="G5" s="1109"/>
      <c r="H5" s="1109"/>
      <c r="I5" s="1109"/>
      <c r="J5" s="1109"/>
      <c r="K5" s="150"/>
      <c r="L5" s="79"/>
      <c r="M5" s="79"/>
      <c r="N5" s="79"/>
      <c r="O5" s="79"/>
      <c r="P5" s="79"/>
      <c r="Q5" s="131"/>
      <c r="R5" s="131"/>
      <c r="S5" s="131"/>
      <c r="T5" s="131"/>
    </row>
    <row r="6" spans="1:254" s="55" customFormat="1" ht="14.25" customHeight="1">
      <c r="A6" s="24"/>
      <c r="B6" s="72"/>
      <c r="C6" s="24"/>
      <c r="D6" s="86"/>
      <c r="E6" s="24"/>
      <c r="F6" s="88"/>
      <c r="G6" s="88"/>
      <c r="H6" s="88"/>
      <c r="I6" s="88"/>
      <c r="J6" s="89"/>
      <c r="K6" s="79"/>
      <c r="L6" s="79"/>
      <c r="M6" s="79"/>
      <c r="N6" s="79"/>
      <c r="O6" s="79"/>
      <c r="P6" s="79"/>
      <c r="Q6" s="131"/>
      <c r="R6" s="131"/>
      <c r="S6" s="131"/>
      <c r="T6" s="131"/>
    </row>
    <row r="7" spans="1:254" s="55" customFormat="1" ht="14.25" customHeight="1">
      <c r="A7" s="24"/>
      <c r="B7" s="72"/>
      <c r="C7" s="24"/>
      <c r="D7" s="86"/>
      <c r="E7" s="1105" t="s">
        <v>292</v>
      </c>
      <c r="F7" s="1110"/>
      <c r="G7" s="1110"/>
      <c r="H7" s="1110"/>
      <c r="I7" s="1110"/>
      <c r="J7" s="1503" t="s">
        <v>293</v>
      </c>
      <c r="K7" s="79"/>
      <c r="L7" s="79"/>
      <c r="M7" s="79"/>
      <c r="N7" s="79"/>
      <c r="O7" s="79"/>
      <c r="P7" s="79"/>
      <c r="Q7" s="131"/>
      <c r="R7" s="131"/>
      <c r="S7" s="131"/>
      <c r="T7" s="131"/>
    </row>
    <row r="8" spans="1:254" s="55" customFormat="1" ht="20.25" customHeight="1">
      <c r="A8" s="24"/>
      <c r="B8" s="72"/>
      <c r="C8" s="24"/>
      <c r="D8" s="86"/>
      <c r="E8" s="899" t="s">
        <v>88</v>
      </c>
      <c r="F8" s="886" t="s">
        <v>2146</v>
      </c>
      <c r="G8" s="886" t="s">
        <v>48</v>
      </c>
      <c r="H8" s="886" t="s">
        <v>50</v>
      </c>
      <c r="I8" s="886" t="s">
        <v>2147</v>
      </c>
      <c r="J8" s="1504"/>
      <c r="K8" s="79"/>
      <c r="L8" s="79"/>
      <c r="M8" s="79"/>
      <c r="N8" s="79"/>
      <c r="O8" s="79"/>
      <c r="P8" s="79"/>
      <c r="Q8" s="131"/>
      <c r="R8" s="131"/>
      <c r="S8" s="131"/>
      <c r="T8" s="131"/>
    </row>
    <row r="9" spans="1:254" ht="22.5" customHeight="1">
      <c r="A9" s="1108"/>
      <c r="B9" s="72">
        <v>1</v>
      </c>
      <c r="C9" s="72"/>
      <c r="D9" s="496"/>
      <c r="E9" s="50">
        <v>1</v>
      </c>
      <c r="F9" s="898"/>
      <c r="G9" s="118"/>
      <c r="H9" s="118"/>
      <c r="I9" s="884"/>
      <c r="J9" s="1505" t="s">
        <v>2148</v>
      </c>
      <c r="K9" s="881" t="e">
        <f ca="1">MERGEVALUE(F9)</f>
        <v>#NAME?</v>
      </c>
      <c r="L9" s="77"/>
      <c r="M9" s="77"/>
      <c r="N9" s="79" t="str">
        <f t="array" ref="N9">IF(ISERROR(MATCH(MID(O9,1,250),MID(note_ter,1,250),0)),"n","y")</f>
        <v>n</v>
      </c>
      <c r="O9" s="77"/>
      <c r="P9" s="79" t="str">
        <f>G9&amp;"("&amp;J9&amp;")"</f>
        <v>(Значение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v>
      </c>
      <c r="Q9" s="72"/>
      <c r="R9" s="72"/>
      <c r="S9" s="258"/>
      <c r="T9" s="72"/>
      <c r="U9" s="72"/>
      <c r="V9" s="72"/>
      <c r="W9" s="71"/>
      <c r="X9" s="71"/>
      <c r="Y9" s="111"/>
      <c r="Z9" s="111"/>
      <c r="AA9" s="111"/>
      <c r="AB9" s="111"/>
      <c r="AC9" s="111"/>
      <c r="AD9" s="111"/>
      <c r="AE9" s="111"/>
      <c r="AF9" s="111"/>
      <c r="AG9" s="111"/>
      <c r="AH9" s="111"/>
      <c r="AI9" s="111"/>
      <c r="AJ9" s="111"/>
      <c r="AK9" s="111"/>
      <c r="AL9" s="111"/>
      <c r="AM9" s="111"/>
      <c r="AN9" s="111"/>
      <c r="AO9" s="111"/>
      <c r="AP9" s="111"/>
      <c r="AQ9" s="111"/>
      <c r="AR9" s="111"/>
      <c r="AS9" s="111"/>
      <c r="AT9" s="111"/>
      <c r="AU9" s="111"/>
      <c r="AV9" s="111"/>
      <c r="AW9" s="111"/>
      <c r="AX9" s="111"/>
      <c r="AY9" s="111"/>
      <c r="AZ9" s="111"/>
      <c r="BA9" s="111"/>
      <c r="BB9" s="111"/>
      <c r="BC9" s="111"/>
      <c r="BD9" s="111"/>
      <c r="BE9" s="111"/>
      <c r="BF9" s="111"/>
      <c r="BG9" s="111"/>
      <c r="BH9" s="111"/>
      <c r="BI9" s="111"/>
      <c r="BJ9" s="111"/>
      <c r="BK9" s="111"/>
      <c r="BL9" s="111"/>
      <c r="BM9" s="111"/>
      <c r="BN9" s="111"/>
      <c r="BO9" s="111"/>
      <c r="BP9" s="111"/>
      <c r="BQ9" s="111"/>
      <c r="BR9" s="111"/>
      <c r="BS9" s="111"/>
      <c r="BT9" s="71"/>
      <c r="BU9" s="71"/>
      <c r="BV9" s="71"/>
      <c r="BW9" s="71"/>
      <c r="BX9" s="71"/>
      <c r="BY9" s="71"/>
      <c r="BZ9" s="71"/>
      <c r="CA9" s="71"/>
      <c r="CB9" s="71"/>
      <c r="CC9" s="71"/>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row>
    <row r="10" spans="1:254" ht="15" customHeight="1">
      <c r="A10" s="1108"/>
      <c r="C10" s="257"/>
      <c r="D10" s="496"/>
      <c r="E10" s="887"/>
      <c r="F10" s="861" t="s">
        <v>2149</v>
      </c>
      <c r="G10" s="888"/>
      <c r="H10" s="888"/>
      <c r="I10" s="888"/>
      <c r="J10" s="1506"/>
      <c r="K10" s="882"/>
      <c r="L10" s="77"/>
      <c r="M10" s="77"/>
      <c r="N10" s="77"/>
      <c r="P10" s="77"/>
      <c r="Q10" s="72"/>
      <c r="R10" s="72"/>
      <c r="S10" s="258"/>
      <c r="T10" s="72"/>
      <c r="U10" s="72"/>
      <c r="V10" s="72"/>
      <c r="W10" s="71"/>
      <c r="X10" s="71"/>
      <c r="Y10" s="111"/>
      <c r="Z10" s="111"/>
      <c r="AA10" s="111"/>
      <c r="AB10" s="111"/>
      <c r="AC10" s="111"/>
      <c r="AD10" s="111"/>
      <c r="AE10" s="111"/>
      <c r="AF10" s="111"/>
      <c r="AG10" s="111"/>
      <c r="AH10" s="111"/>
      <c r="AI10" s="111"/>
      <c r="AJ10" s="111"/>
      <c r="AK10" s="111"/>
      <c r="AL10" s="111"/>
      <c r="AM10" s="111"/>
      <c r="AN10" s="111"/>
      <c r="AO10" s="111"/>
      <c r="AP10" s="111"/>
      <c r="AQ10" s="111"/>
      <c r="AR10" s="111"/>
      <c r="AS10" s="111"/>
      <c r="AT10" s="111"/>
      <c r="AU10" s="111"/>
      <c r="AV10" s="111"/>
      <c r="AW10" s="111"/>
      <c r="AX10" s="111"/>
      <c r="AY10" s="111"/>
      <c r="AZ10" s="111"/>
      <c r="BA10" s="111"/>
      <c r="BB10" s="111"/>
      <c r="BC10" s="111"/>
      <c r="BD10" s="111"/>
      <c r="BE10" s="111"/>
      <c r="BF10" s="111"/>
      <c r="BG10" s="111"/>
      <c r="BH10" s="111"/>
      <c r="BI10" s="111"/>
      <c r="BJ10" s="111"/>
      <c r="BK10" s="111"/>
      <c r="BL10" s="111"/>
      <c r="BM10" s="111"/>
      <c r="BN10" s="111"/>
      <c r="BO10" s="111"/>
      <c r="BP10" s="111"/>
      <c r="BQ10" s="111"/>
      <c r="BR10" s="111"/>
      <c r="BS10" s="111"/>
      <c r="BT10" s="71"/>
      <c r="BU10" s="71"/>
      <c r="BV10" s="71"/>
      <c r="BW10" s="71"/>
      <c r="BX10" s="71"/>
      <c r="BY10" s="71"/>
      <c r="BZ10" s="71"/>
      <c r="CA10" s="71"/>
      <c r="CB10" s="71"/>
      <c r="CC10" s="71"/>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row>
    <row r="11" spans="1:254" s="55" customFormat="1" ht="21" customHeight="1">
      <c r="A11" s="24"/>
      <c r="B11" s="72"/>
      <c r="C11" s="24"/>
      <c r="D11" s="86"/>
      <c r="E11" s="100"/>
      <c r="F11" s="100"/>
      <c r="G11" s="100"/>
      <c r="H11" s="100"/>
      <c r="I11" s="100"/>
      <c r="J11" s="100"/>
      <c r="K11" s="79"/>
      <c r="L11" s="79"/>
      <c r="M11" s="79"/>
      <c r="N11" s="79"/>
      <c r="O11" s="79"/>
      <c r="P11" s="79"/>
      <c r="Q11" s="131"/>
      <c r="R11" s="131"/>
      <c r="S11" s="131"/>
      <c r="T11" s="131"/>
    </row>
    <row r="12" spans="1:254" s="55" customFormat="1" ht="14.25" customHeight="1">
      <c r="A12" s="24"/>
      <c r="B12" s="72"/>
      <c r="C12" s="24"/>
      <c r="D12" s="86"/>
      <c r="E12" s="24"/>
      <c r="F12" s="24"/>
      <c r="G12" s="24"/>
      <c r="H12" s="24"/>
      <c r="I12" s="24"/>
      <c r="J12" s="24"/>
      <c r="K12" s="79"/>
      <c r="L12" s="79"/>
      <c r="M12" s="79"/>
      <c r="N12" s="79"/>
      <c r="O12" s="79"/>
      <c r="P12" s="79"/>
      <c r="Q12" s="131"/>
      <c r="R12" s="131"/>
      <c r="S12" s="131"/>
      <c r="T12" s="131"/>
    </row>
    <row r="13" spans="1:254" s="55" customFormat="1" ht="0.75" customHeight="1">
      <c r="A13" s="24"/>
      <c r="B13" s="72"/>
      <c r="C13" s="24"/>
      <c r="D13" s="86"/>
      <c r="E13" s="24"/>
      <c r="F13" s="24"/>
      <c r="G13" s="24"/>
      <c r="H13" s="24"/>
      <c r="I13" s="24"/>
      <c r="J13" s="24"/>
      <c r="K13" s="79"/>
      <c r="L13" s="79"/>
      <c r="M13" s="79"/>
      <c r="N13" s="79"/>
      <c r="O13" s="79"/>
      <c r="P13" s="79"/>
      <c r="Q13" s="131"/>
      <c r="R13" s="131"/>
      <c r="S13" s="131"/>
      <c r="T13" s="131"/>
    </row>
    <row r="14" spans="1:254" s="101" customFormat="1" ht="10.5" customHeight="1">
      <c r="B14" s="510"/>
      <c r="D14" s="102"/>
      <c r="K14" s="79"/>
      <c r="L14" s="79"/>
      <c r="M14" s="79"/>
      <c r="N14" s="79"/>
      <c r="O14" s="79"/>
      <c r="P14" s="79"/>
      <c r="Q14" s="131"/>
      <c r="R14" s="131"/>
      <c r="S14" s="131"/>
      <c r="T14" s="131"/>
    </row>
    <row r="15" spans="1:254" s="101" customFormat="1" ht="10.5" customHeight="1">
      <c r="B15" s="510"/>
      <c r="D15" s="102"/>
      <c r="K15" s="79"/>
      <c r="L15" s="79"/>
      <c r="M15" s="79"/>
      <c r="N15" s="79"/>
      <c r="O15" s="79"/>
      <c r="P15" s="79"/>
      <c r="Q15" s="131"/>
      <c r="R15" s="131"/>
      <c r="S15" s="131"/>
      <c r="T15" s="131"/>
    </row>
    <row r="19" spans="7:13" ht="14.25" customHeight="1">
      <c r="G19"/>
      <c r="H19"/>
      <c r="I19"/>
    </row>
    <row r="23" spans="7:13" ht="14.25" customHeight="1">
      <c r="K23" s="24"/>
      <c r="L23" s="24"/>
      <c r="M23" s="24"/>
    </row>
  </sheetData>
  <sheetProtection formatColumns="0" formatRows="0" insertRows="0" deleteColumns="0" deleteRows="0" sort="0" autoFilter="0"/>
  <mergeCells count="5">
    <mergeCell ref="E5:J5"/>
    <mergeCell ref="A9:A10"/>
    <mergeCell ref="E7:I7"/>
    <mergeCell ref="J7:J8"/>
    <mergeCell ref="J9:J10"/>
  </mergeCells>
  <dataValidations count="1">
    <dataValidation type="textLength" allowBlank="1" showInputMessage="1" showErrorMessage="1" sqref="I2:I3 I9" xr:uid="{00000000-0002-0000-3F00-000000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149EEB-66CD-913E-A4E3-553CFF918A53}">
  <dimension ref="A1:IV14"/>
  <sheetViews>
    <sheetView showGridLines="0" topLeftCell="D4" zoomScale="90" workbookViewId="0"/>
  </sheetViews>
  <sheetFormatPr defaultColWidth="9.140625" defaultRowHeight="14.25" customHeight="1"/>
  <cols>
    <col min="1" max="1" width="9.140625" style="24" hidden="1"/>
    <col min="2" max="2" width="9.140625" style="72" hidden="1"/>
    <col min="3" max="3" width="3.7109375" style="24" hidden="1" customWidth="1"/>
    <col min="4" max="4" width="3.85546875" style="86" customWidth="1"/>
    <col min="5" max="5" width="6.28515625" style="24" customWidth="1"/>
    <col min="6" max="6" width="27.28515625" style="24" customWidth="1"/>
    <col min="7" max="7" width="16.7109375" style="24" customWidth="1"/>
    <col min="8" max="8" width="12.7109375" style="24" customWidth="1"/>
    <col min="9" max="9" width="32.140625" style="24" customWidth="1"/>
    <col min="10" max="11" width="41.85546875" style="24" customWidth="1"/>
    <col min="12" max="12" width="89.5703125" style="24" customWidth="1"/>
    <col min="13" max="13" width="3.7109375" style="79" customWidth="1"/>
    <col min="14" max="16" width="9.140625" style="79"/>
    <col min="17" max="17" width="25.7109375" style="79" customWidth="1"/>
    <col min="18" max="18" width="14.42578125" style="79" customWidth="1"/>
    <col min="19" max="22" width="9.140625" style="131"/>
    <col min="23" max="256" width="9.140625" style="24"/>
  </cols>
  <sheetData>
    <row r="1" spans="1:256" ht="14.25" hidden="1" customHeight="1"/>
    <row r="2" spans="1:256" ht="22.5" hidden="1" customHeight="1">
      <c r="A2" s="89"/>
      <c r="B2" s="72">
        <v>1</v>
      </c>
      <c r="C2" s="72"/>
      <c r="D2" s="496"/>
      <c r="E2" s="50"/>
      <c r="F2" s="885" t="str">
        <f>IF(ROIV_INFO_NAME="","",ROIV_INFO_NAME)</f>
        <v/>
      </c>
      <c r="G2" s="988" t="s">
        <v>17</v>
      </c>
      <c r="H2" s="884"/>
      <c r="I2" s="884"/>
      <c r="J2" s="122"/>
      <c r="K2" s="122"/>
      <c r="L2" s="133"/>
      <c r="M2" s="881" t="e">
        <f ca="1">MERGEVALUE(F2)</f>
        <v>#NAME?</v>
      </c>
      <c r="N2" s="77"/>
      <c r="O2" s="77"/>
      <c r="P2" s="79" t="str">
        <f t="array" ref="P2">IF(ISERROR(MATCH(MID(Q2,1,250),MID(note_ter,1,250),0)),"n","y")</f>
        <v>n</v>
      </c>
      <c r="Q2" s="77"/>
      <c r="R2" s="79" t="str">
        <f>G2&amp;"("&amp;L2&amp;")"</f>
        <v>()</v>
      </c>
      <c r="S2" s="72"/>
      <c r="T2" s="72"/>
      <c r="U2" s="258"/>
      <c r="V2" s="72"/>
      <c r="W2" s="72"/>
      <c r="X2" s="72"/>
      <c r="Y2" s="71"/>
      <c r="Z2" s="71"/>
      <c r="AA2" s="111"/>
      <c r="AB2" s="111"/>
      <c r="AC2" s="111"/>
      <c r="AD2" s="111"/>
      <c r="AE2" s="111"/>
      <c r="AF2" s="111"/>
      <c r="AG2" s="111"/>
      <c r="AH2" s="111"/>
      <c r="AI2" s="111"/>
      <c r="AJ2" s="111"/>
      <c r="AK2" s="111"/>
      <c r="AL2" s="111"/>
      <c r="AM2" s="111"/>
      <c r="AN2" s="111"/>
      <c r="AO2" s="111"/>
      <c r="AP2" s="111"/>
      <c r="AQ2" s="111"/>
      <c r="AR2" s="111"/>
      <c r="AS2" s="111"/>
      <c r="AT2" s="111"/>
      <c r="AU2" s="111"/>
      <c r="AV2" s="111"/>
      <c r="AW2" s="111"/>
      <c r="AX2" s="111"/>
      <c r="AY2" s="111"/>
      <c r="AZ2" s="111"/>
      <c r="BA2" s="111"/>
      <c r="BB2" s="111"/>
      <c r="BC2" s="111"/>
      <c r="BD2" s="111"/>
      <c r="BE2" s="111"/>
      <c r="BF2" s="111"/>
      <c r="BG2" s="111"/>
      <c r="BH2" s="111"/>
      <c r="BI2" s="111"/>
      <c r="BJ2" s="111"/>
      <c r="BK2" s="111"/>
      <c r="BL2" s="111"/>
      <c r="BM2" s="111"/>
      <c r="BN2" s="111"/>
      <c r="BO2" s="111"/>
      <c r="BP2" s="111"/>
      <c r="BQ2" s="111"/>
      <c r="BR2" s="111"/>
      <c r="BS2" s="111"/>
      <c r="BT2" s="111"/>
      <c r="BU2" s="111"/>
      <c r="BV2" s="71"/>
      <c r="BW2" s="71"/>
      <c r="BX2" s="71"/>
      <c r="BY2" s="71"/>
      <c r="BZ2" s="71"/>
      <c r="CA2" s="71"/>
      <c r="CB2" s="71"/>
      <c r="CC2" s="71"/>
      <c r="CD2" s="71"/>
      <c r="CE2" s="71"/>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row>
    <row r="3" spans="1:256" s="77" customFormat="1" ht="5.25" hidden="1" customHeight="1">
      <c r="A3" s="216"/>
      <c r="D3" s="127"/>
      <c r="F3" s="150" t="s">
        <v>83</v>
      </c>
      <c r="G3" s="991" t="s">
        <v>84</v>
      </c>
      <c r="H3" s="127"/>
      <c r="I3" s="127"/>
      <c r="J3" s="127"/>
      <c r="K3" s="127"/>
      <c r="L3" s="132" t="s">
        <v>85</v>
      </c>
      <c r="M3" s="150" t="s">
        <v>83</v>
      </c>
      <c r="N3" s="150"/>
      <c r="O3" s="150"/>
      <c r="P3" s="150"/>
      <c r="Q3" s="150"/>
      <c r="R3" s="150"/>
      <c r="S3" s="150"/>
      <c r="T3" s="150"/>
      <c r="U3" s="150"/>
      <c r="V3" s="150"/>
      <c r="W3" s="132"/>
      <c r="X3" s="132"/>
      <c r="Y3" s="132"/>
      <c r="Z3" s="132"/>
      <c r="AA3" s="132"/>
      <c r="AB3" s="132"/>
      <c r="AC3" s="132"/>
      <c r="AD3" s="132"/>
      <c r="AE3" s="132"/>
      <c r="AF3" s="132"/>
      <c r="AG3" s="132"/>
      <c r="AH3" s="132"/>
      <c r="AI3" s="132"/>
      <c r="AJ3" s="132"/>
      <c r="AK3" s="132"/>
      <c r="AL3" s="132"/>
      <c r="AM3" s="132"/>
      <c r="AN3" s="132"/>
      <c r="AO3" s="132"/>
      <c r="AP3" s="132"/>
      <c r="AQ3" s="132"/>
      <c r="AR3" s="132"/>
      <c r="AS3" s="132"/>
      <c r="AT3" s="132"/>
      <c r="AU3" s="132"/>
      <c r="AV3" s="132"/>
      <c r="AW3" s="132"/>
      <c r="AX3" s="132"/>
      <c r="AY3" s="132"/>
      <c r="AZ3" s="132"/>
      <c r="BA3" s="132"/>
      <c r="BB3" s="132"/>
      <c r="BC3" s="132"/>
      <c r="BD3" s="132"/>
      <c r="BE3" s="132"/>
      <c r="BF3" s="132"/>
      <c r="BG3" s="132"/>
      <c r="BH3" s="132"/>
      <c r="BI3" s="132"/>
      <c r="BJ3" s="132"/>
      <c r="BK3" s="132"/>
      <c r="BL3" s="132"/>
      <c r="BM3" s="132"/>
      <c r="BN3" s="132"/>
      <c r="BO3" s="132"/>
      <c r="BP3" s="132"/>
      <c r="BQ3" s="132"/>
      <c r="BR3" s="132"/>
      <c r="BS3" s="132"/>
      <c r="BT3" s="132"/>
      <c r="BU3" s="132"/>
      <c r="BV3" s="132"/>
      <c r="BW3" s="132"/>
      <c r="BX3" s="132"/>
      <c r="BY3" s="132"/>
      <c r="BZ3" s="132"/>
      <c r="CA3" s="132"/>
      <c r="CB3" s="132"/>
      <c r="CC3" s="132"/>
      <c r="CD3" s="132"/>
      <c r="CE3" s="132"/>
      <c r="CF3" s="132"/>
      <c r="CG3" s="132"/>
      <c r="CH3" s="132"/>
      <c r="CI3" s="132"/>
      <c r="CJ3" s="132"/>
      <c r="CK3" s="132"/>
      <c r="CL3" s="132"/>
      <c r="CM3" s="132"/>
      <c r="CN3" s="132"/>
      <c r="CO3" s="132"/>
      <c r="CP3" s="132"/>
      <c r="CQ3" s="132"/>
      <c r="CR3" s="132"/>
      <c r="CS3" s="132"/>
      <c r="CT3" s="132"/>
      <c r="CU3" s="132"/>
      <c r="CV3" s="132"/>
      <c r="CW3" s="132"/>
      <c r="CX3" s="132"/>
      <c r="CY3" s="132"/>
      <c r="CZ3" s="132"/>
      <c r="DA3" s="132"/>
      <c r="DB3" s="132"/>
      <c r="DC3" s="132"/>
      <c r="DD3" s="132"/>
      <c r="DE3" s="132"/>
      <c r="DF3" s="132"/>
      <c r="DG3" s="132"/>
      <c r="DH3" s="132"/>
      <c r="DI3" s="132"/>
      <c r="DJ3" s="132"/>
      <c r="DK3" s="132"/>
      <c r="DL3" s="132"/>
      <c r="DM3" s="132"/>
      <c r="DN3" s="132"/>
      <c r="DO3" s="132"/>
      <c r="DP3" s="132"/>
      <c r="DQ3" s="132"/>
      <c r="DR3" s="132"/>
      <c r="DS3" s="132"/>
      <c r="DT3" s="132"/>
      <c r="DU3" s="132"/>
      <c r="DV3" s="132"/>
      <c r="DW3" s="132"/>
      <c r="DX3" s="132"/>
      <c r="DY3" s="132"/>
      <c r="DZ3" s="132"/>
      <c r="EA3" s="132"/>
      <c r="EB3" s="132"/>
      <c r="EC3" s="132"/>
      <c r="ED3" s="132"/>
      <c r="EE3" s="132"/>
      <c r="EF3" s="132"/>
      <c r="EG3" s="132"/>
      <c r="EH3" s="132"/>
      <c r="EI3" s="132"/>
      <c r="EJ3" s="132"/>
      <c r="EK3" s="132"/>
      <c r="EL3" s="132"/>
      <c r="EM3" s="132"/>
      <c r="EN3" s="132"/>
      <c r="EO3" s="132"/>
      <c r="EP3" s="132"/>
      <c r="EQ3" s="132"/>
      <c r="ER3" s="132"/>
      <c r="ES3" s="132"/>
      <c r="ET3" s="132"/>
      <c r="EU3" s="132"/>
      <c r="EV3" s="132"/>
      <c r="EW3" s="132"/>
      <c r="EX3" s="132"/>
      <c r="EY3" s="132"/>
      <c r="EZ3" s="132"/>
      <c r="FA3" s="132"/>
      <c r="FB3" s="132"/>
      <c r="FC3" s="132"/>
      <c r="FD3" s="132"/>
      <c r="FE3" s="132"/>
      <c r="FF3" s="132"/>
      <c r="FG3" s="132"/>
      <c r="FH3" s="132"/>
      <c r="FI3" s="132"/>
      <c r="FJ3" s="132"/>
      <c r="FK3" s="132"/>
      <c r="FL3" s="132"/>
      <c r="FM3" s="132"/>
      <c r="FN3" s="132"/>
      <c r="FO3" s="132"/>
      <c r="FP3" s="132"/>
      <c r="FQ3" s="132"/>
      <c r="FR3" s="132"/>
      <c r="FS3" s="132"/>
      <c r="FT3" s="132"/>
      <c r="FU3" s="132"/>
      <c r="FV3" s="132"/>
      <c r="FW3" s="132"/>
      <c r="FX3" s="132"/>
      <c r="FY3" s="132"/>
      <c r="FZ3" s="132"/>
      <c r="GA3" s="132"/>
      <c r="GB3" s="132"/>
      <c r="GC3" s="132"/>
      <c r="GD3" s="132"/>
      <c r="GE3" s="132"/>
      <c r="GF3" s="132"/>
      <c r="GG3" s="132"/>
      <c r="GH3" s="132"/>
      <c r="GI3" s="132"/>
      <c r="GJ3" s="132"/>
      <c r="GK3" s="132"/>
      <c r="GL3" s="132"/>
      <c r="GM3" s="132"/>
      <c r="GN3" s="132"/>
      <c r="GO3" s="132"/>
      <c r="GP3" s="132"/>
      <c r="GQ3" s="132"/>
      <c r="GR3" s="132"/>
      <c r="GS3" s="132"/>
      <c r="GT3" s="132"/>
      <c r="GU3" s="132"/>
      <c r="GV3" s="132"/>
      <c r="GW3" s="132"/>
      <c r="GX3" s="132"/>
      <c r="GY3" s="132"/>
      <c r="GZ3" s="132"/>
      <c r="HA3" s="132"/>
      <c r="HB3" s="132"/>
      <c r="HC3" s="132"/>
      <c r="HD3" s="132"/>
      <c r="HE3" s="132"/>
      <c r="HF3" s="132"/>
      <c r="HG3" s="132"/>
      <c r="HH3" s="132"/>
      <c r="HI3" s="132"/>
      <c r="HJ3" s="132"/>
      <c r="HK3" s="132"/>
      <c r="HL3" s="132"/>
      <c r="HM3" s="132"/>
      <c r="HN3" s="132"/>
      <c r="HO3" s="132"/>
      <c r="HP3" s="132"/>
      <c r="HQ3" s="132"/>
      <c r="HR3" s="132"/>
      <c r="HS3" s="132"/>
      <c r="HT3" s="132"/>
      <c r="HU3" s="132"/>
      <c r="HV3" s="132"/>
      <c r="HW3" s="132"/>
      <c r="HX3" s="132"/>
      <c r="HY3" s="132"/>
      <c r="HZ3" s="132"/>
      <c r="IA3" s="132"/>
      <c r="IB3" s="132"/>
      <c r="IC3" s="132"/>
      <c r="ID3" s="132"/>
      <c r="IE3" s="132"/>
      <c r="IF3" s="132"/>
      <c r="IG3" s="132"/>
      <c r="IH3" s="132"/>
      <c r="II3" s="132"/>
      <c r="IJ3" s="132"/>
      <c r="IK3" s="132"/>
      <c r="IL3" s="132"/>
      <c r="IM3" s="132"/>
      <c r="IN3" s="132"/>
      <c r="IO3" s="132"/>
      <c r="IP3" s="132"/>
      <c r="IQ3" s="132"/>
      <c r="IR3" s="132"/>
      <c r="IS3" s="132"/>
      <c r="IT3" s="132"/>
      <c r="IU3" s="132"/>
      <c r="IV3" s="132"/>
    </row>
    <row r="4" spans="1:256" s="55" customFormat="1" ht="14.25" customHeight="1">
      <c r="A4" s="24"/>
      <c r="B4" s="72"/>
      <c r="C4" s="24"/>
      <c r="D4" s="86"/>
      <c r="E4" s="24"/>
      <c r="F4" s="24"/>
      <c r="G4" s="24"/>
      <c r="H4" s="24"/>
      <c r="I4" s="24"/>
      <c r="J4" s="24"/>
      <c r="K4" s="24"/>
      <c r="L4" s="87"/>
      <c r="M4" s="150"/>
      <c r="N4" s="79"/>
      <c r="O4" s="79"/>
      <c r="P4" s="79"/>
      <c r="Q4" s="79"/>
      <c r="R4" s="79"/>
      <c r="S4" s="131"/>
      <c r="T4" s="131"/>
      <c r="U4" s="131"/>
      <c r="V4" s="131"/>
    </row>
    <row r="5" spans="1:256" s="55" customFormat="1" ht="25.5" customHeight="1">
      <c r="A5" s="24"/>
      <c r="B5" s="72"/>
      <c r="C5" s="24"/>
      <c r="D5" s="86"/>
      <c r="E5" s="1109" t="str">
        <f>"Форма 3. Информация о рассмотрении дел об установлении тарифов в сфере "&amp;IF(TEMPLATE_SPHERE="HEAT","теплоснабжения","водоснабжения и водоотведения")</f>
        <v>Форма 3. Информация о рассмотрении дел об установлении тарифов в сфере теплоснабжения</v>
      </c>
      <c r="F5" s="1109"/>
      <c r="G5" s="1109"/>
      <c r="H5" s="1109"/>
      <c r="I5" s="1109"/>
      <c r="J5" s="1109"/>
      <c r="K5" s="1109"/>
      <c r="L5" s="24"/>
      <c r="M5" s="150"/>
      <c r="N5" s="79"/>
      <c r="O5" s="79"/>
      <c r="P5" s="79"/>
      <c r="Q5" s="79"/>
      <c r="R5" s="79"/>
      <c r="S5" s="131"/>
      <c r="T5" s="131"/>
      <c r="U5" s="131"/>
      <c r="V5" s="131"/>
    </row>
    <row r="6" spans="1:256" s="55" customFormat="1" ht="14.25" customHeight="1">
      <c r="A6" s="24"/>
      <c r="B6" s="72"/>
      <c r="C6" s="24"/>
      <c r="D6" s="86"/>
      <c r="E6" s="24"/>
      <c r="F6" s="88"/>
      <c r="G6" s="88"/>
      <c r="H6" s="88"/>
      <c r="I6" s="88"/>
      <c r="J6" s="88"/>
      <c r="K6" s="88"/>
      <c r="L6" s="89"/>
      <c r="M6" s="79"/>
      <c r="N6" s="79"/>
      <c r="O6" s="79"/>
      <c r="P6" s="79"/>
      <c r="Q6" s="79"/>
      <c r="R6" s="79"/>
      <c r="S6" s="131"/>
      <c r="T6" s="131"/>
      <c r="U6" s="131"/>
      <c r="V6" s="131"/>
    </row>
    <row r="7" spans="1:256" s="55" customFormat="1" ht="14.25" customHeight="1">
      <c r="A7" s="24"/>
      <c r="B7" s="72"/>
      <c r="C7" s="24"/>
      <c r="D7" s="86"/>
      <c r="E7" s="1105" t="s">
        <v>292</v>
      </c>
      <c r="F7" s="1110"/>
      <c r="G7" s="1110"/>
      <c r="H7" s="1110"/>
      <c r="I7" s="1110"/>
      <c r="J7" s="1110"/>
      <c r="K7" s="1110"/>
      <c r="L7" s="1503" t="s">
        <v>293</v>
      </c>
      <c r="M7" s="79"/>
      <c r="N7" s="79"/>
      <c r="O7" s="79"/>
      <c r="P7" s="79"/>
      <c r="Q7" s="79"/>
      <c r="R7" s="79"/>
      <c r="S7" s="131"/>
      <c r="T7" s="131"/>
      <c r="U7" s="131"/>
      <c r="V7" s="131"/>
    </row>
    <row r="8" spans="1:256" s="55" customFormat="1" ht="47.25" customHeight="1">
      <c r="A8" s="24"/>
      <c r="B8" s="72"/>
      <c r="C8" s="24"/>
      <c r="D8" s="86"/>
      <c r="E8" s="1508" t="s">
        <v>88</v>
      </c>
      <c r="F8" s="1508" t="s">
        <v>2128</v>
      </c>
      <c r="G8" s="1510" t="str">
        <f>"Заседание правления (коллегии органа регулирования тарифов, на котором планируется рассмотрение дела об установлении тарифов в сфере "&amp;IF(TEMPLATE_SPHERE="HEAT","теплоснабжения","водоснабжения и водоотведения")</f>
        <v>Заседание правления (коллегии органа регулирования тарифов, на котором планируется рассмотрение дела об установлении тарифов в сфере теплоснабжения</v>
      </c>
      <c r="H8" s="1511"/>
      <c r="I8" s="1512"/>
      <c r="J8" s="1508" t="str">
        <f>"Принятые органом регулирования тарифов решения об установлении тарифов в сфере "&amp;IF(TEMPLATE_SPHERE="HEAT","теплоснабжения","водоснабжения и водоотведения")</f>
        <v>Принятые органом регулирования тарифов решения об установлении тарифов в сфере теплоснабжения</v>
      </c>
      <c r="K8" s="1508" t="str">
        <f>"Протокол заседания правления (коллегии) органа регулирования тарифов, оформленный в соответствии с требованиями"&amp;IF(TEMPLATE_SPHERE="HEAT","законодательства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требованиямизаконодательства Российской Федерации</v>
      </c>
      <c r="L8" s="1507"/>
      <c r="M8" s="79"/>
      <c r="N8" s="79"/>
      <c r="O8" s="79"/>
      <c r="P8" s="79"/>
      <c r="Q8" s="79"/>
      <c r="R8" s="79"/>
      <c r="S8" s="131"/>
      <c r="T8" s="131"/>
      <c r="U8" s="131"/>
      <c r="V8" s="131"/>
    </row>
    <row r="9" spans="1:256" s="55" customFormat="1" ht="56.25" customHeight="1">
      <c r="A9" s="24"/>
      <c r="B9" s="72"/>
      <c r="C9" s="24"/>
      <c r="D9" s="86"/>
      <c r="E9" s="1509"/>
      <c r="F9" s="1509"/>
      <c r="G9" s="883" t="s">
        <v>2150</v>
      </c>
      <c r="H9" s="883" t="s">
        <v>2151</v>
      </c>
      <c r="I9" s="883" t="s">
        <v>2152</v>
      </c>
      <c r="J9" s="1509"/>
      <c r="K9" s="1509"/>
      <c r="L9" s="1504"/>
      <c r="M9" s="79"/>
      <c r="N9" s="79"/>
      <c r="O9" s="79"/>
      <c r="P9" s="79"/>
      <c r="Q9" s="79"/>
      <c r="R9" s="79"/>
      <c r="S9" s="131"/>
      <c r="T9" s="131"/>
      <c r="U9" s="131"/>
      <c r="V9" s="131"/>
    </row>
    <row r="10" spans="1:256" ht="22.5" customHeight="1">
      <c r="A10" s="1108"/>
      <c r="B10" s="72">
        <v>1</v>
      </c>
      <c r="C10" s="72"/>
      <c r="D10" s="495"/>
      <c r="E10" s="480">
        <v>1</v>
      </c>
      <c r="F10" s="885" t="str">
        <f>IF(ROIV_INFO_NAME="","",ROIV_INFO_NAME)</f>
        <v/>
      </c>
      <c r="G10" s="988" t="s">
        <v>17</v>
      </c>
      <c r="H10" s="880"/>
      <c r="I10" s="880"/>
      <c r="J10" s="122"/>
      <c r="K10" s="122"/>
      <c r="L10" s="1505" t="s">
        <v>2153</v>
      </c>
      <c r="M10" s="881" t="e">
        <f ca="1">MERGEVALUE(F10)</f>
        <v>#NAME?</v>
      </c>
      <c r="N10" s="77"/>
      <c r="O10" s="77"/>
      <c r="P10" s="79" t="str">
        <f t="array" ref="P10">IF(ISERROR(MATCH(MID(Q10,1,250),MID(note_ter,1,250),0)),"n","y")</f>
        <v>n</v>
      </c>
      <c r="Q10" s="77"/>
      <c r="R10" s="79"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72"/>
      <c r="T10" s="72"/>
      <c r="U10" s="258"/>
      <c r="V10" s="72"/>
      <c r="W10" s="72"/>
      <c r="X10" s="72"/>
      <c r="Y10" s="71"/>
      <c r="Z10" s="71"/>
      <c r="AA10" s="111"/>
      <c r="AB10" s="111"/>
      <c r="AC10" s="111"/>
      <c r="AD10" s="111"/>
      <c r="AE10" s="111"/>
      <c r="AF10" s="111"/>
      <c r="AG10" s="111"/>
      <c r="AH10" s="111"/>
      <c r="AI10" s="111"/>
      <c r="AJ10" s="111"/>
      <c r="AK10" s="111"/>
      <c r="AL10" s="111"/>
      <c r="AM10" s="111"/>
      <c r="AN10" s="111"/>
      <c r="AO10" s="111"/>
      <c r="AP10" s="111"/>
      <c r="AQ10" s="111"/>
      <c r="AR10" s="111"/>
      <c r="AS10" s="111"/>
      <c r="AT10" s="111"/>
      <c r="AU10" s="111"/>
      <c r="AV10" s="111"/>
      <c r="AW10" s="111"/>
      <c r="AX10" s="111"/>
      <c r="AY10" s="111"/>
      <c r="AZ10" s="111"/>
      <c r="BA10" s="111"/>
      <c r="BB10" s="111"/>
      <c r="BC10" s="111"/>
      <c r="BD10" s="111"/>
      <c r="BE10" s="111"/>
      <c r="BF10" s="111"/>
      <c r="BG10" s="111"/>
      <c r="BH10" s="111"/>
      <c r="BI10" s="111"/>
      <c r="BJ10" s="111"/>
      <c r="BK10" s="111"/>
      <c r="BL10" s="111"/>
      <c r="BM10" s="111"/>
      <c r="BN10" s="111"/>
      <c r="BO10" s="111"/>
      <c r="BP10" s="111"/>
      <c r="BQ10" s="111"/>
      <c r="BR10" s="111"/>
      <c r="BS10" s="111"/>
      <c r="BT10" s="111"/>
      <c r="BU10" s="111"/>
      <c r="BV10" s="71"/>
      <c r="BW10" s="71"/>
      <c r="BX10" s="71"/>
      <c r="BY10" s="71"/>
      <c r="BZ10" s="71"/>
      <c r="CA10" s="71"/>
      <c r="CB10" s="71"/>
      <c r="CC10" s="71"/>
      <c r="CD10" s="71"/>
      <c r="CE10" s="71"/>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row>
    <row r="11" spans="1:256" ht="15" customHeight="1">
      <c r="A11" s="1108"/>
      <c r="C11" s="257"/>
      <c r="D11" s="496"/>
      <c r="E11" s="259"/>
      <c r="F11" s="62" t="s">
        <v>2154</v>
      </c>
      <c r="G11" s="105"/>
      <c r="H11" s="105"/>
      <c r="I11" s="105"/>
      <c r="J11" s="105"/>
      <c r="K11" s="105"/>
      <c r="L11" s="1506"/>
      <c r="M11" s="882"/>
      <c r="N11" s="77"/>
      <c r="O11" s="77"/>
      <c r="P11" s="77"/>
      <c r="R11" s="77"/>
      <c r="S11" s="72"/>
      <c r="T11" s="72"/>
      <c r="U11" s="258"/>
      <c r="V11" s="72"/>
      <c r="W11" s="72"/>
      <c r="X11" s="72"/>
      <c r="Y11" s="71"/>
      <c r="Z11" s="71"/>
      <c r="AA11" s="111"/>
      <c r="AB11" s="111"/>
      <c r="AC11" s="111"/>
      <c r="AD11" s="111"/>
      <c r="AE11" s="111"/>
      <c r="AF11" s="111"/>
      <c r="AG11" s="111"/>
      <c r="AH11" s="111"/>
      <c r="AI11" s="111"/>
      <c r="AJ11" s="111"/>
      <c r="AK11" s="111"/>
      <c r="AL11" s="111"/>
      <c r="AM11" s="111"/>
      <c r="AN11" s="111"/>
      <c r="AO11" s="111"/>
      <c r="AP11" s="111"/>
      <c r="AQ11" s="111"/>
      <c r="AR11" s="111"/>
      <c r="AS11" s="111"/>
      <c r="AT11" s="111"/>
      <c r="AU11" s="111"/>
      <c r="AV11" s="111"/>
      <c r="AW11" s="111"/>
      <c r="AX11" s="111"/>
      <c r="AY11" s="111"/>
      <c r="AZ11" s="111"/>
      <c r="BA11" s="111"/>
      <c r="BB11" s="111"/>
      <c r="BC11" s="111"/>
      <c r="BD11" s="111"/>
      <c r="BE11" s="111"/>
      <c r="BF11" s="111"/>
      <c r="BG11" s="111"/>
      <c r="BH11" s="111"/>
      <c r="BI11" s="111"/>
      <c r="BJ11" s="111"/>
      <c r="BK11" s="111"/>
      <c r="BL11" s="111"/>
      <c r="BM11" s="111"/>
      <c r="BN11" s="111"/>
      <c r="BO11" s="111"/>
      <c r="BP11" s="111"/>
      <c r="BQ11" s="111"/>
      <c r="BR11" s="111"/>
      <c r="BS11" s="111"/>
      <c r="BT11" s="111"/>
      <c r="BU11" s="111"/>
      <c r="BV11" s="71"/>
      <c r="BW11" s="71"/>
      <c r="BX11" s="71"/>
      <c r="BY11" s="71"/>
      <c r="BZ11" s="71"/>
      <c r="CA11" s="71"/>
      <c r="CB11" s="71"/>
      <c r="CC11" s="71"/>
      <c r="CD11" s="71"/>
      <c r="CE11" s="7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row>
    <row r="12" spans="1:256" s="55" customFormat="1" ht="21" customHeight="1">
      <c r="A12" s="24"/>
      <c r="B12" s="72"/>
      <c r="C12" s="24"/>
      <c r="D12" s="86"/>
      <c r="E12" s="100"/>
      <c r="F12" s="100"/>
      <c r="G12" s="100"/>
      <c r="H12" s="100"/>
      <c r="I12" s="100"/>
      <c r="J12" s="100"/>
      <c r="K12" s="100"/>
      <c r="L12" s="100"/>
      <c r="M12" s="79"/>
      <c r="N12" s="79"/>
      <c r="O12" s="79"/>
      <c r="P12" s="79"/>
      <c r="Q12" s="79"/>
      <c r="R12" s="79"/>
      <c r="S12" s="131"/>
      <c r="T12" s="131"/>
      <c r="U12" s="131"/>
      <c r="V12" s="131"/>
    </row>
    <row r="13" spans="1:256" s="55" customFormat="1" ht="14.25" customHeight="1">
      <c r="A13" s="24"/>
      <c r="B13" s="72"/>
      <c r="C13" s="24"/>
      <c r="D13" s="86"/>
      <c r="E13" s="24"/>
      <c r="F13" s="24"/>
      <c r="G13" s="24"/>
      <c r="H13" s="24"/>
      <c r="I13" s="24"/>
      <c r="J13" s="24"/>
      <c r="K13" s="24"/>
      <c r="L13" s="24"/>
      <c r="M13" s="79"/>
      <c r="N13" s="79"/>
      <c r="O13" s="79"/>
      <c r="P13" s="79"/>
      <c r="Q13" s="79"/>
      <c r="R13" s="79"/>
      <c r="S13" s="131"/>
      <c r="T13" s="131"/>
      <c r="U13" s="131"/>
      <c r="V13" s="131"/>
    </row>
    <row r="14" spans="1:256" s="55" customFormat="1" ht="0.75" customHeight="1">
      <c r="A14" s="24"/>
      <c r="B14" s="72"/>
      <c r="C14" s="24"/>
      <c r="D14" s="86"/>
      <c r="E14" s="24"/>
      <c r="F14" s="24"/>
      <c r="G14" s="24"/>
      <c r="H14" s="24"/>
      <c r="I14" s="24"/>
      <c r="J14" s="24"/>
      <c r="K14" s="24"/>
      <c r="L14" s="24"/>
      <c r="M14" s="79"/>
      <c r="N14" s="79"/>
      <c r="O14" s="79"/>
      <c r="P14" s="79"/>
      <c r="Q14" s="79"/>
      <c r="R14" s="79"/>
      <c r="S14" s="131"/>
      <c r="T14" s="131"/>
      <c r="U14" s="131"/>
      <c r="V14" s="131"/>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xr:uid="{00000000-0002-0000-40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4000-000001000000}"/>
    <dataValidation type="textLength" allowBlank="1" showInputMessage="1" showErrorMessage="1" sqref="H2:I3 H10:I10" xr:uid="{00000000-0002-0000-4000-000002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613FAE-E306-8459-694E-71069B94DD32}">
  <dimension ref="A1:IY16"/>
  <sheetViews>
    <sheetView showGridLines="0" topLeftCell="D5" zoomScale="90" workbookViewId="0"/>
  </sheetViews>
  <sheetFormatPr defaultColWidth="9.140625" defaultRowHeight="14.25" customHeight="1"/>
  <cols>
    <col min="1" max="1" width="9.140625" style="24" hidden="1"/>
    <col min="2" max="2" width="9.140625" style="72" hidden="1"/>
    <col min="3" max="3" width="3.7109375" style="24" hidden="1" customWidth="1"/>
    <col min="4" max="4" width="3.85546875" style="86" customWidth="1"/>
    <col min="5" max="5" width="10.140625" style="24" customWidth="1"/>
    <col min="6" max="6" width="6.28515625" style="24" customWidth="1"/>
    <col min="7" max="7" width="27.28515625" style="24" customWidth="1"/>
    <col min="8" max="8" width="29.28515625" style="24" customWidth="1"/>
    <col min="9" max="9" width="25.42578125" style="24" customWidth="1"/>
    <col min="10" max="10" width="5.5703125" style="24" customWidth="1"/>
    <col min="11" max="11" width="6.5703125" style="24" customWidth="1"/>
    <col min="12" max="12" width="41.85546875" style="24" customWidth="1"/>
    <col min="13" max="13" width="42.42578125" style="24" customWidth="1"/>
    <col min="14" max="14" width="41.5703125" style="24" customWidth="1"/>
    <col min="15" max="15" width="64.140625" style="24" customWidth="1"/>
    <col min="16" max="16" width="3.7109375" style="79" customWidth="1"/>
    <col min="17" max="19" width="9.140625" style="79"/>
    <col min="20" max="20" width="25.7109375" style="79" customWidth="1"/>
    <col min="21" max="21" width="14.42578125" style="79" customWidth="1"/>
    <col min="22" max="25" width="9.140625" style="131"/>
    <col min="26" max="259" width="9.140625" style="24"/>
  </cols>
  <sheetData>
    <row r="1" spans="1:259" ht="14.25" hidden="1" customHeight="1"/>
    <row r="2" spans="1:259" ht="22.5" hidden="1" customHeight="1">
      <c r="A2" s="216"/>
      <c r="B2" s="72">
        <v>1</v>
      </c>
      <c r="C2" s="72"/>
      <c r="D2" s="496"/>
      <c r="E2" s="1123"/>
      <c r="F2" s="1123">
        <v>1</v>
      </c>
      <c r="G2" s="1400" t="str">
        <f>IF(region_name="","",region_name)</f>
        <v>Нижегородская область</v>
      </c>
      <c r="H2" s="1513"/>
      <c r="I2" s="1514"/>
      <c r="J2" s="292"/>
      <c r="K2" s="50">
        <v>1</v>
      </c>
      <c r="L2" s="122"/>
      <c r="M2" s="122"/>
      <c r="N2" s="122"/>
      <c r="O2" s="122"/>
      <c r="P2" s="881" t="e">
        <f ca="1">MERGEVALUE(G2)</f>
        <v>#NAME?</v>
      </c>
      <c r="Q2" s="77"/>
      <c r="R2" s="77"/>
      <c r="S2" s="79" t="str">
        <f t="array" ref="S2">IF(ISERROR(MATCH(MID(T2,1,250),MID(note_ter,1,250),0)),"n","y")</f>
        <v>n</v>
      </c>
      <c r="T2" s="77"/>
      <c r="V2" s="72"/>
      <c r="W2" s="72"/>
      <c r="X2" s="258"/>
      <c r="Y2" s="72"/>
      <c r="Z2" s="72"/>
      <c r="AA2" s="72"/>
      <c r="AB2" s="71"/>
      <c r="AC2" s="71"/>
      <c r="AD2" s="111"/>
      <c r="AE2" s="111"/>
      <c r="AF2" s="111"/>
      <c r="AG2" s="111"/>
      <c r="AH2" s="111"/>
      <c r="AI2" s="111"/>
      <c r="AJ2" s="111"/>
      <c r="AK2" s="111"/>
      <c r="AL2" s="111"/>
      <c r="AM2" s="111"/>
      <c r="AN2" s="111"/>
      <c r="AO2" s="111"/>
      <c r="AP2" s="111"/>
      <c r="AQ2" s="111"/>
      <c r="AR2" s="111"/>
      <c r="AS2" s="111"/>
      <c r="AT2" s="111"/>
      <c r="AU2" s="111"/>
      <c r="AV2" s="111"/>
      <c r="AW2" s="111"/>
      <c r="AX2" s="111"/>
      <c r="AY2" s="111"/>
      <c r="AZ2" s="111"/>
      <c r="BA2" s="111"/>
      <c r="BB2" s="111"/>
      <c r="BC2" s="111"/>
      <c r="BD2" s="111"/>
      <c r="BE2" s="111"/>
      <c r="BF2" s="111"/>
      <c r="BG2" s="111"/>
      <c r="BH2" s="111"/>
      <c r="BI2" s="111"/>
      <c r="BJ2" s="111"/>
      <c r="BK2" s="111"/>
      <c r="BL2" s="111"/>
      <c r="BM2" s="111"/>
      <c r="BN2" s="111"/>
      <c r="BO2" s="111"/>
      <c r="BP2" s="111"/>
      <c r="BQ2" s="111"/>
      <c r="BR2" s="111"/>
      <c r="BS2" s="111"/>
      <c r="BT2" s="111"/>
      <c r="BU2" s="111"/>
      <c r="BV2" s="111"/>
      <c r="BW2" s="111"/>
      <c r="BX2" s="111"/>
      <c r="BY2" s="71"/>
      <c r="BZ2" s="71"/>
      <c r="CA2" s="71"/>
      <c r="CB2" s="71"/>
      <c r="CC2" s="71"/>
      <c r="CD2" s="71"/>
      <c r="CE2" s="71"/>
      <c r="CF2" s="71"/>
      <c r="CG2" s="71"/>
      <c r="CH2" s="71"/>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row>
    <row r="3" spans="1:259" ht="22.5" hidden="1" customHeight="1">
      <c r="A3" s="89"/>
      <c r="C3" s="72"/>
      <c r="D3" s="496"/>
      <c r="E3" s="1123"/>
      <c r="F3" s="1123"/>
      <c r="G3" s="1400"/>
      <c r="H3" s="1513"/>
      <c r="I3" s="1309"/>
      <c r="J3" s="890"/>
      <c r="K3" s="861"/>
      <c r="L3" s="861" t="s">
        <v>2155</v>
      </c>
      <c r="M3" s="893"/>
      <c r="N3" s="893"/>
      <c r="O3" s="894"/>
      <c r="P3" s="881"/>
      <c r="Q3" s="77"/>
      <c r="R3" s="77"/>
      <c r="T3" s="77"/>
      <c r="V3" s="72"/>
      <c r="W3" s="72"/>
      <c r="X3" s="258"/>
      <c r="Y3" s="72"/>
      <c r="Z3" s="72"/>
      <c r="AA3" s="72"/>
      <c r="AB3" s="71"/>
      <c r="AC3" s="71"/>
      <c r="AD3" s="111"/>
      <c r="AE3" s="111"/>
      <c r="AF3" s="111"/>
      <c r="AG3" s="111"/>
      <c r="AH3" s="111"/>
      <c r="AI3" s="111"/>
      <c r="AJ3" s="111"/>
      <c r="AK3" s="111"/>
      <c r="AL3" s="111"/>
      <c r="AM3" s="111"/>
      <c r="AN3" s="111"/>
      <c r="AO3" s="111"/>
      <c r="AP3" s="111"/>
      <c r="AQ3" s="111"/>
      <c r="AR3" s="111"/>
      <c r="AS3" s="111"/>
      <c r="AT3" s="111"/>
      <c r="AU3" s="111"/>
      <c r="AV3" s="111"/>
      <c r="AW3" s="111"/>
      <c r="AX3" s="111"/>
      <c r="AY3" s="111"/>
      <c r="AZ3" s="111"/>
      <c r="BA3" s="111"/>
      <c r="BB3" s="111"/>
      <c r="BC3" s="111"/>
      <c r="BD3" s="111"/>
      <c r="BE3" s="111"/>
      <c r="BF3" s="111"/>
      <c r="BG3" s="111"/>
      <c r="BH3" s="111"/>
      <c r="BI3" s="111"/>
      <c r="BJ3" s="111"/>
      <c r="BK3" s="111"/>
      <c r="BL3" s="111"/>
      <c r="BM3" s="111"/>
      <c r="BN3" s="111"/>
      <c r="BO3" s="111"/>
      <c r="BP3" s="111"/>
      <c r="BQ3" s="111"/>
      <c r="BR3" s="111"/>
      <c r="BS3" s="111"/>
      <c r="BT3" s="111"/>
      <c r="BU3" s="111"/>
      <c r="BV3" s="111"/>
      <c r="BW3" s="111"/>
      <c r="BX3" s="111"/>
      <c r="BY3" s="71"/>
      <c r="BZ3" s="71"/>
      <c r="CA3" s="71"/>
      <c r="CB3" s="71"/>
      <c r="CC3" s="71"/>
      <c r="CD3" s="71"/>
      <c r="CE3" s="71"/>
      <c r="CF3" s="71"/>
      <c r="CG3" s="71"/>
      <c r="CH3" s="71"/>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c r="IN3"/>
      <c r="IO3"/>
      <c r="IP3"/>
      <c r="IQ3"/>
      <c r="IR3"/>
      <c r="IS3"/>
      <c r="IT3"/>
      <c r="IU3"/>
      <c r="IV3"/>
      <c r="IW3"/>
      <c r="IX3"/>
      <c r="IY3"/>
    </row>
    <row r="4" spans="1:259" s="77" customFormat="1" ht="5.25" hidden="1" customHeight="1">
      <c r="A4" s="216"/>
      <c r="D4" s="127"/>
      <c r="G4" s="150" t="s">
        <v>83</v>
      </c>
      <c r="H4" s="127" t="s">
        <v>84</v>
      </c>
      <c r="I4" s="127"/>
      <c r="J4" s="895"/>
      <c r="K4" s="895"/>
      <c r="L4" s="895"/>
      <c r="M4" s="895"/>
      <c r="N4" s="895"/>
      <c r="O4" s="895"/>
      <c r="P4" s="150" t="s">
        <v>83</v>
      </c>
      <c r="Q4" s="150"/>
      <c r="R4" s="150"/>
      <c r="S4" s="150"/>
      <c r="T4" s="150"/>
      <c r="U4" s="150"/>
      <c r="V4" s="150"/>
      <c r="W4" s="150"/>
      <c r="X4" s="150"/>
      <c r="Y4" s="150"/>
      <c r="Z4" s="132"/>
      <c r="AA4" s="132"/>
      <c r="AB4" s="132"/>
      <c r="AC4" s="132"/>
      <c r="AD4" s="132"/>
      <c r="AE4" s="132"/>
      <c r="AF4" s="132"/>
      <c r="AG4" s="132"/>
      <c r="AH4" s="132"/>
      <c r="AI4" s="132"/>
      <c r="AJ4" s="132"/>
      <c r="AK4" s="132"/>
      <c r="AL4" s="132"/>
      <c r="AM4" s="132"/>
      <c r="AN4" s="132"/>
      <c r="AO4" s="132"/>
      <c r="AP4" s="132"/>
      <c r="AQ4" s="132"/>
      <c r="AR4" s="132"/>
      <c r="AS4" s="132"/>
      <c r="AT4" s="132"/>
      <c r="AU4" s="132"/>
      <c r="AV4" s="132"/>
      <c r="AW4" s="132"/>
      <c r="AX4" s="132"/>
      <c r="AY4" s="132"/>
      <c r="AZ4" s="132"/>
      <c r="BA4" s="132"/>
      <c r="BB4" s="132"/>
      <c r="BC4" s="132"/>
      <c r="BD4" s="132"/>
      <c r="BE4" s="132"/>
      <c r="BF4" s="132"/>
      <c r="BG4" s="132"/>
      <c r="BH4" s="132"/>
      <c r="BI4" s="132"/>
      <c r="BJ4" s="132"/>
      <c r="BK4" s="132"/>
      <c r="BL4" s="132"/>
      <c r="BM4" s="132"/>
      <c r="BN4" s="132"/>
      <c r="BO4" s="132"/>
      <c r="BP4" s="132"/>
      <c r="BQ4" s="132"/>
      <c r="BR4" s="132"/>
      <c r="BS4" s="132"/>
      <c r="BT4" s="132"/>
      <c r="BU4" s="132"/>
      <c r="BV4" s="132"/>
      <c r="BW4" s="132"/>
      <c r="BX4" s="132"/>
      <c r="BY4" s="132"/>
      <c r="BZ4" s="132"/>
      <c r="CA4" s="132"/>
      <c r="CB4" s="132"/>
      <c r="CC4" s="132"/>
      <c r="CD4" s="132"/>
      <c r="CE4" s="132"/>
      <c r="CF4" s="132"/>
      <c r="CG4" s="132"/>
      <c r="CH4" s="132"/>
      <c r="CI4" s="132"/>
      <c r="CJ4" s="132"/>
      <c r="CK4" s="132"/>
      <c r="CL4" s="132"/>
      <c r="CM4" s="132"/>
      <c r="CN4" s="132"/>
      <c r="CO4" s="132"/>
      <c r="CP4" s="132"/>
      <c r="CQ4" s="132"/>
      <c r="CR4" s="132"/>
      <c r="CS4" s="132"/>
      <c r="CT4" s="132"/>
      <c r="CU4" s="132"/>
      <c r="CV4" s="132"/>
      <c r="CW4" s="132"/>
      <c r="CX4" s="132"/>
      <c r="CY4" s="132"/>
      <c r="CZ4" s="132"/>
      <c r="DA4" s="132"/>
      <c r="DB4" s="132"/>
      <c r="DC4" s="132"/>
      <c r="DD4" s="132"/>
      <c r="DE4" s="132"/>
      <c r="DF4" s="132"/>
      <c r="DG4" s="132"/>
      <c r="DH4" s="132"/>
      <c r="DI4" s="132"/>
      <c r="DJ4" s="132"/>
      <c r="DK4" s="132"/>
      <c r="DL4" s="132"/>
      <c r="DM4" s="132"/>
      <c r="DN4" s="132"/>
      <c r="DO4" s="132"/>
      <c r="DP4" s="132"/>
      <c r="DQ4" s="132"/>
      <c r="DR4" s="132"/>
      <c r="DS4" s="132"/>
      <c r="DT4" s="132"/>
      <c r="DU4" s="132"/>
      <c r="DV4" s="132"/>
      <c r="DW4" s="132"/>
      <c r="DX4" s="132"/>
      <c r="DY4" s="132"/>
      <c r="DZ4" s="132"/>
      <c r="EA4" s="132"/>
      <c r="EB4" s="132"/>
      <c r="EC4" s="132"/>
      <c r="ED4" s="132"/>
      <c r="EE4" s="132"/>
      <c r="EF4" s="132"/>
      <c r="EG4" s="132"/>
      <c r="EH4" s="132"/>
      <c r="EI4" s="132"/>
      <c r="EJ4" s="132"/>
      <c r="EK4" s="132"/>
      <c r="EL4" s="132"/>
      <c r="EM4" s="132"/>
      <c r="EN4" s="132"/>
      <c r="EO4" s="132"/>
      <c r="EP4" s="132"/>
      <c r="EQ4" s="132"/>
      <c r="ER4" s="132"/>
      <c r="ES4" s="132"/>
      <c r="ET4" s="132"/>
      <c r="EU4" s="132"/>
      <c r="EV4" s="132"/>
      <c r="EW4" s="132"/>
      <c r="EX4" s="132"/>
      <c r="EY4" s="132"/>
      <c r="EZ4" s="132"/>
      <c r="FA4" s="132"/>
      <c r="FB4" s="132"/>
      <c r="FC4" s="132"/>
      <c r="FD4" s="132"/>
      <c r="FE4" s="132"/>
      <c r="FF4" s="132"/>
      <c r="FG4" s="132"/>
      <c r="FH4" s="132"/>
      <c r="FI4" s="132"/>
      <c r="FJ4" s="132"/>
      <c r="FK4" s="132"/>
      <c r="FL4" s="132"/>
      <c r="FM4" s="132"/>
      <c r="FN4" s="132"/>
      <c r="FO4" s="132"/>
      <c r="FP4" s="132"/>
      <c r="FQ4" s="132"/>
      <c r="FR4" s="132"/>
      <c r="FS4" s="132"/>
      <c r="FT4" s="132"/>
      <c r="FU4" s="132"/>
      <c r="FV4" s="132"/>
      <c r="FW4" s="132"/>
      <c r="FX4" s="132"/>
      <c r="FY4" s="132"/>
      <c r="FZ4" s="132"/>
      <c r="GA4" s="132"/>
      <c r="GB4" s="132"/>
      <c r="GC4" s="132"/>
      <c r="GD4" s="132"/>
      <c r="GE4" s="132"/>
      <c r="GF4" s="132"/>
      <c r="GG4" s="132"/>
      <c r="GH4" s="132"/>
      <c r="GI4" s="132"/>
      <c r="GJ4" s="132"/>
      <c r="GK4" s="132"/>
      <c r="GL4" s="132"/>
      <c r="GM4" s="132"/>
      <c r="GN4" s="132"/>
      <c r="GO4" s="132"/>
      <c r="GP4" s="132"/>
      <c r="GQ4" s="132"/>
      <c r="GR4" s="132"/>
      <c r="GS4" s="132"/>
      <c r="GT4" s="132"/>
      <c r="GU4" s="132"/>
      <c r="GV4" s="132"/>
      <c r="GW4" s="132"/>
      <c r="GX4" s="132"/>
      <c r="GY4" s="132"/>
      <c r="GZ4" s="132"/>
      <c r="HA4" s="132"/>
      <c r="HB4" s="132"/>
      <c r="HC4" s="132"/>
      <c r="HD4" s="132"/>
      <c r="HE4" s="132"/>
      <c r="HF4" s="132"/>
      <c r="HG4" s="132"/>
      <c r="HH4" s="132"/>
      <c r="HI4" s="132"/>
      <c r="HJ4" s="132"/>
      <c r="HK4" s="132"/>
      <c r="HL4" s="132"/>
      <c r="HM4" s="132"/>
      <c r="HN4" s="132"/>
      <c r="HO4" s="132"/>
      <c r="HP4" s="132"/>
      <c r="HQ4" s="132"/>
      <c r="HR4" s="132"/>
      <c r="HS4" s="132"/>
      <c r="HT4" s="132"/>
      <c r="HU4" s="132"/>
      <c r="HV4" s="132"/>
      <c r="HW4" s="132"/>
      <c r="HX4" s="132"/>
      <c r="HY4" s="132"/>
      <c r="HZ4" s="132"/>
      <c r="IA4" s="132"/>
      <c r="IB4" s="132"/>
      <c r="IC4" s="132"/>
      <c r="ID4" s="132"/>
      <c r="IE4" s="132"/>
      <c r="IF4" s="132"/>
      <c r="IG4" s="132"/>
      <c r="IH4" s="132"/>
      <c r="II4" s="132"/>
      <c r="IJ4" s="132"/>
      <c r="IK4" s="132"/>
      <c r="IL4" s="132"/>
      <c r="IM4" s="132"/>
      <c r="IN4" s="132"/>
      <c r="IO4" s="132"/>
      <c r="IP4" s="132"/>
      <c r="IQ4" s="132"/>
      <c r="IR4" s="132"/>
      <c r="IS4" s="132"/>
      <c r="IT4" s="132"/>
      <c r="IU4" s="132"/>
      <c r="IV4" s="132"/>
      <c r="IW4" s="132"/>
      <c r="IX4" s="132"/>
      <c r="IY4" s="132"/>
    </row>
    <row r="5" spans="1:259" s="55" customFormat="1" ht="14.25" customHeight="1">
      <c r="A5" s="24"/>
      <c r="B5" s="72"/>
      <c r="C5" s="24"/>
      <c r="D5" s="86"/>
      <c r="E5" s="24"/>
      <c r="F5" s="24"/>
      <c r="G5" s="24"/>
      <c r="H5" s="24"/>
      <c r="I5" s="24"/>
      <c r="J5" s="24"/>
      <c r="K5" s="24"/>
      <c r="L5" s="24"/>
      <c r="M5" s="24"/>
      <c r="N5" s="24"/>
      <c r="O5" s="24"/>
      <c r="P5" s="150"/>
      <c r="Q5" s="79"/>
      <c r="R5" s="79"/>
      <c r="S5" s="79"/>
      <c r="T5" s="79"/>
      <c r="U5" s="79"/>
      <c r="V5" s="131"/>
      <c r="W5" s="131"/>
      <c r="X5" s="131"/>
      <c r="Y5" s="131"/>
    </row>
    <row r="6" spans="1:259" s="55" customFormat="1" ht="25.5" customHeight="1">
      <c r="A6" s="24"/>
      <c r="B6" s="72"/>
      <c r="C6" s="24"/>
      <c r="D6" s="86"/>
      <c r="E6" s="1109" t="s">
        <v>2156</v>
      </c>
      <c r="F6" s="1109"/>
      <c r="G6" s="1109"/>
      <c r="H6" s="1109"/>
      <c r="I6" s="1109"/>
      <c r="J6" s="1109"/>
      <c r="K6" s="1109"/>
      <c r="L6" s="1109"/>
      <c r="M6" s="1109"/>
      <c r="N6" s="1109"/>
      <c r="O6" s="1109"/>
      <c r="P6" s="150"/>
      <c r="Q6" s="79"/>
      <c r="R6" s="79"/>
      <c r="S6" s="79"/>
      <c r="T6" s="79"/>
      <c r="U6" s="79"/>
      <c r="V6" s="131"/>
      <c r="W6" s="131"/>
      <c r="X6" s="131"/>
      <c r="Y6" s="131"/>
    </row>
    <row r="7" spans="1:259" s="55" customFormat="1" ht="14.25" customHeight="1">
      <c r="A7" s="24"/>
      <c r="B7" s="72"/>
      <c r="C7" s="24"/>
      <c r="D7" s="86"/>
      <c r="E7" s="24"/>
      <c r="F7" s="24"/>
      <c r="G7" s="88"/>
      <c r="H7" s="88"/>
      <c r="I7" s="88"/>
      <c r="J7" s="88"/>
      <c r="K7" s="88"/>
      <c r="L7" s="88"/>
      <c r="M7" s="88"/>
      <c r="N7" s="88"/>
      <c r="O7" s="88"/>
      <c r="P7" s="79"/>
      <c r="Q7" s="79"/>
      <c r="R7" s="79"/>
      <c r="S7" s="79"/>
      <c r="T7" s="79"/>
      <c r="U7" s="79"/>
      <c r="V7" s="131"/>
      <c r="W7" s="131"/>
      <c r="X7" s="131"/>
      <c r="Y7" s="131"/>
    </row>
    <row r="8" spans="1:259" s="897" customFormat="1" ht="42.75" customHeight="1">
      <c r="A8" s="68"/>
      <c r="B8" s="388"/>
      <c r="C8" s="68"/>
      <c r="D8" s="86"/>
      <c r="E8" s="901" t="s">
        <v>293</v>
      </c>
      <c r="F8" s="901"/>
      <c r="G8" s="901" t="s">
        <v>297</v>
      </c>
      <c r="H8" s="901" t="s">
        <v>2157</v>
      </c>
      <c r="I8" s="901" t="s">
        <v>301</v>
      </c>
      <c r="J8" s="1518"/>
      <c r="K8" s="1519"/>
      <c r="L8" s="1520"/>
      <c r="M8" s="901" t="s">
        <v>2158</v>
      </c>
      <c r="N8" s="901" t="s">
        <v>2159</v>
      </c>
      <c r="O8" s="901" t="s">
        <v>2160</v>
      </c>
      <c r="P8" s="373"/>
      <c r="Q8" s="373"/>
      <c r="R8" s="373"/>
      <c r="S8" s="373"/>
      <c r="T8" s="373"/>
      <c r="U8" s="373"/>
      <c r="V8" s="896"/>
      <c r="W8" s="896"/>
      <c r="X8" s="896"/>
      <c r="Y8" s="896"/>
    </row>
    <row r="9" spans="1:259" s="55" customFormat="1" ht="47.25" customHeight="1">
      <c r="A9" s="24"/>
      <c r="B9" s="72"/>
      <c r="C9" s="24"/>
      <c r="D9" s="86"/>
      <c r="E9" s="1238" t="s">
        <v>292</v>
      </c>
      <c r="F9" s="1509" t="s">
        <v>88</v>
      </c>
      <c r="G9" s="1509" t="s">
        <v>296</v>
      </c>
      <c r="H9" s="1509" t="s">
        <v>2161</v>
      </c>
      <c r="I9" s="1509"/>
      <c r="J9" s="1509" t="s">
        <v>2162</v>
      </c>
      <c r="K9" s="1509"/>
      <c r="L9" s="1509"/>
      <c r="M9" s="1509" t="s">
        <v>2163</v>
      </c>
      <c r="N9" s="1509" t="s">
        <v>2164</v>
      </c>
      <c r="O9" s="1509" t="s">
        <v>2165</v>
      </c>
      <c r="P9" s="79"/>
      <c r="Q9" s="79"/>
      <c r="R9" s="79"/>
      <c r="S9" s="79"/>
      <c r="T9" s="79"/>
      <c r="U9" s="79"/>
      <c r="V9" s="131"/>
      <c r="W9" s="131"/>
      <c r="X9" s="131"/>
      <c r="Y9" s="131"/>
    </row>
    <row r="10" spans="1:259" s="55" customFormat="1" ht="56.25" customHeight="1">
      <c r="A10" s="24"/>
      <c r="B10" s="72"/>
      <c r="C10" s="24"/>
      <c r="D10" s="86"/>
      <c r="E10" s="1123"/>
      <c r="F10" s="1517"/>
      <c r="G10" s="1517"/>
      <c r="H10" s="92" t="s">
        <v>2166</v>
      </c>
      <c r="I10" s="92" t="s">
        <v>300</v>
      </c>
      <c r="J10" s="1508"/>
      <c r="K10" s="1508"/>
      <c r="L10" s="1517"/>
      <c r="M10" s="1517"/>
      <c r="N10" s="1517"/>
      <c r="O10" s="1517"/>
      <c r="P10" s="79"/>
      <c r="Q10" s="79"/>
      <c r="R10" s="79"/>
      <c r="S10" s="79"/>
      <c r="T10" s="79"/>
      <c r="U10" s="79"/>
      <c r="V10" s="131"/>
      <c r="W10" s="131"/>
      <c r="X10" s="131"/>
      <c r="Y10" s="131"/>
    </row>
    <row r="11" spans="1:259" ht="22.5" customHeight="1">
      <c r="A11" s="1108">
        <v>26379339</v>
      </c>
      <c r="B11" s="72">
        <v>1</v>
      </c>
      <c r="C11" s="72"/>
      <c r="D11" s="496"/>
      <c r="E11" s="1238"/>
      <c r="F11" s="1238">
        <v>1</v>
      </c>
      <c r="G11" s="1515" t="str">
        <f>IF(region_name="","",region_name)</f>
        <v>Нижегородская область</v>
      </c>
      <c r="H11" s="1516"/>
      <c r="I11" s="1521"/>
      <c r="J11" s="292"/>
      <c r="K11" s="50">
        <v>1</v>
      </c>
      <c r="L11" s="902"/>
      <c r="M11" s="892"/>
      <c r="N11" s="892"/>
      <c r="O11" s="891"/>
      <c r="P11" s="881" t="e">
        <f ca="1">MERGEVALUE(G11)</f>
        <v>#NAME?</v>
      </c>
      <c r="Q11" s="77"/>
      <c r="R11" s="77"/>
      <c r="S11" s="79" t="str">
        <f t="array" ref="S11">IF(ISERROR(MATCH(MID(T11,1,250),MID(note_ter,1,250),0)),"n","y")</f>
        <v>n</v>
      </c>
      <c r="T11" s="77"/>
      <c r="V11" s="72"/>
      <c r="W11" s="72"/>
      <c r="X11" s="258"/>
      <c r="Y11" s="72"/>
      <c r="Z11" s="72"/>
      <c r="AA11" s="72"/>
      <c r="AB11" s="71"/>
      <c r="AC11" s="71"/>
      <c r="AD11" s="111"/>
      <c r="AE11" s="111"/>
      <c r="AF11" s="111"/>
      <c r="AG11" s="111"/>
      <c r="AH11" s="111"/>
      <c r="AI11" s="111"/>
      <c r="AJ11" s="111"/>
      <c r="AK11" s="111"/>
      <c r="AL11" s="111"/>
      <c r="AM11" s="111"/>
      <c r="AN11" s="111"/>
      <c r="AO11" s="111"/>
      <c r="AP11" s="111"/>
      <c r="AQ11" s="111"/>
      <c r="AR11" s="111"/>
      <c r="AS11" s="111"/>
      <c r="AT11" s="111"/>
      <c r="AU11" s="111"/>
      <c r="AV11" s="111"/>
      <c r="AW11" s="111"/>
      <c r="AX11" s="111"/>
      <c r="AY11" s="111"/>
      <c r="AZ11" s="111"/>
      <c r="BA11" s="111"/>
      <c r="BB11" s="111"/>
      <c r="BC11" s="111"/>
      <c r="BD11" s="111"/>
      <c r="BE11" s="111"/>
      <c r="BF11" s="111"/>
      <c r="BG11" s="111"/>
      <c r="BH11" s="111"/>
      <c r="BI11" s="111"/>
      <c r="BJ11" s="111"/>
      <c r="BK11" s="111"/>
      <c r="BL11" s="111"/>
      <c r="BM11" s="111"/>
      <c r="BN11" s="111"/>
      <c r="BO11" s="111"/>
      <c r="BP11" s="111"/>
      <c r="BQ11" s="111"/>
      <c r="BR11" s="111"/>
      <c r="BS11" s="111"/>
      <c r="BT11" s="111"/>
      <c r="BU11" s="111"/>
      <c r="BV11" s="111"/>
      <c r="BW11" s="111"/>
      <c r="BX11" s="111"/>
      <c r="BY11" s="71"/>
      <c r="BZ11" s="71"/>
      <c r="CA11" s="71"/>
      <c r="CB11" s="71"/>
      <c r="CC11" s="71"/>
      <c r="CD11" s="71"/>
      <c r="CE11" s="71"/>
      <c r="CF11" s="71"/>
      <c r="CG11" s="71"/>
      <c r="CH11" s="7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c r="IX11"/>
      <c r="IY11"/>
    </row>
    <row r="12" spans="1:259" ht="22.5" customHeight="1">
      <c r="A12" s="1108"/>
      <c r="C12" s="72"/>
      <c r="D12" s="496"/>
      <c r="E12" s="1238"/>
      <c r="F12" s="1238"/>
      <c r="G12" s="1515"/>
      <c r="H12" s="1516"/>
      <c r="I12" s="1315"/>
      <c r="J12" s="890"/>
      <c r="K12" s="861"/>
      <c r="L12" s="861" t="s">
        <v>2155</v>
      </c>
      <c r="M12" s="893"/>
      <c r="N12" s="893"/>
      <c r="O12" s="894"/>
      <c r="P12" s="881"/>
      <c r="Q12" s="77"/>
      <c r="R12" s="77"/>
      <c r="T12" s="77"/>
      <c r="V12" s="72"/>
      <c r="W12" s="72"/>
      <c r="X12" s="258"/>
      <c r="Y12" s="72"/>
      <c r="Z12" s="72"/>
      <c r="AA12" s="72"/>
      <c r="AB12" s="71"/>
      <c r="AC12" s="71"/>
      <c r="AD12" s="111"/>
      <c r="AE12" s="111"/>
      <c r="AF12" s="111"/>
      <c r="AG12" s="111"/>
      <c r="AH12" s="111"/>
      <c r="AI12" s="111"/>
      <c r="AJ12" s="111"/>
      <c r="AK12" s="111"/>
      <c r="AL12" s="111"/>
      <c r="AM12" s="111"/>
      <c r="AN12" s="111"/>
      <c r="AO12" s="111"/>
      <c r="AP12" s="111"/>
      <c r="AQ12" s="111"/>
      <c r="AR12" s="111"/>
      <c r="AS12" s="111"/>
      <c r="AT12" s="111"/>
      <c r="AU12" s="111"/>
      <c r="AV12" s="111"/>
      <c r="AW12" s="111"/>
      <c r="AX12" s="111"/>
      <c r="AY12" s="111"/>
      <c r="AZ12" s="111"/>
      <c r="BA12" s="111"/>
      <c r="BB12" s="111"/>
      <c r="BC12" s="111"/>
      <c r="BD12" s="111"/>
      <c r="BE12" s="111"/>
      <c r="BF12" s="111"/>
      <c r="BG12" s="111"/>
      <c r="BH12" s="111"/>
      <c r="BI12" s="111"/>
      <c r="BJ12" s="111"/>
      <c r="BK12" s="111"/>
      <c r="BL12" s="111"/>
      <c r="BM12" s="111"/>
      <c r="BN12" s="111"/>
      <c r="BO12" s="111"/>
      <c r="BP12" s="111"/>
      <c r="BQ12" s="111"/>
      <c r="BR12" s="111"/>
      <c r="BS12" s="111"/>
      <c r="BT12" s="111"/>
      <c r="BU12" s="111"/>
      <c r="BV12" s="111"/>
      <c r="BW12" s="111"/>
      <c r="BX12" s="111"/>
      <c r="BY12" s="71"/>
      <c r="BZ12" s="71"/>
      <c r="CA12" s="71"/>
      <c r="CB12" s="71"/>
      <c r="CC12" s="71"/>
      <c r="CD12" s="71"/>
      <c r="CE12" s="71"/>
      <c r="CF12" s="71"/>
      <c r="CG12" s="71"/>
      <c r="CH12" s="71"/>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c r="ID12"/>
      <c r="IE12"/>
      <c r="IF12"/>
      <c r="IG12"/>
      <c r="IH12"/>
      <c r="II12"/>
      <c r="IJ12"/>
      <c r="IK12"/>
      <c r="IL12"/>
      <c r="IM12"/>
      <c r="IN12"/>
      <c r="IO12"/>
      <c r="IP12"/>
      <c r="IQ12"/>
      <c r="IR12"/>
      <c r="IS12"/>
      <c r="IT12"/>
      <c r="IU12"/>
      <c r="IV12"/>
      <c r="IW12"/>
      <c r="IX12"/>
      <c r="IY12"/>
    </row>
    <row r="13" spans="1:259" ht="22.5" customHeight="1">
      <c r="A13" s="1108"/>
      <c r="C13" s="257"/>
      <c r="D13" s="496"/>
      <c r="E13" s="887"/>
      <c r="F13" s="890"/>
      <c r="G13" s="861" t="s">
        <v>2149</v>
      </c>
      <c r="H13" s="888"/>
      <c r="I13" s="888"/>
      <c r="J13" s="105"/>
      <c r="K13" s="105"/>
      <c r="L13" s="105"/>
      <c r="M13" s="105"/>
      <c r="N13" s="105"/>
      <c r="O13" s="889"/>
      <c r="P13" s="882"/>
      <c r="Q13" s="77"/>
      <c r="R13" s="77"/>
      <c r="S13" s="77"/>
      <c r="U13" s="77"/>
      <c r="V13" s="72"/>
      <c r="W13" s="72"/>
      <c r="X13" s="258"/>
      <c r="Y13" s="72"/>
      <c r="Z13" s="72"/>
      <c r="AA13" s="72"/>
      <c r="AB13" s="71"/>
      <c r="AC13" s="71"/>
      <c r="AD13" s="111"/>
      <c r="AE13" s="111"/>
      <c r="AF13" s="111"/>
      <c r="AG13" s="111"/>
      <c r="AH13" s="111"/>
      <c r="AI13" s="111"/>
      <c r="AJ13" s="111"/>
      <c r="AK13" s="111"/>
      <c r="AL13" s="111"/>
      <c r="AM13" s="111"/>
      <c r="AN13" s="111"/>
      <c r="AO13" s="111"/>
      <c r="AP13" s="111"/>
      <c r="AQ13" s="111"/>
      <c r="AR13" s="111"/>
      <c r="AS13" s="111"/>
      <c r="AT13" s="111"/>
      <c r="AU13" s="111"/>
      <c r="AV13" s="111"/>
      <c r="AW13" s="111"/>
      <c r="AX13" s="111"/>
      <c r="AY13" s="111"/>
      <c r="AZ13" s="111"/>
      <c r="BA13" s="111"/>
      <c r="BB13" s="111"/>
      <c r="BC13" s="111"/>
      <c r="BD13" s="111"/>
      <c r="BE13" s="111"/>
      <c r="BF13" s="111"/>
      <c r="BG13" s="111"/>
      <c r="BH13" s="111"/>
      <c r="BI13" s="111"/>
      <c r="BJ13" s="111"/>
      <c r="BK13" s="111"/>
      <c r="BL13" s="111"/>
      <c r="BM13" s="111"/>
      <c r="BN13" s="111"/>
      <c r="BO13" s="111"/>
      <c r="BP13" s="111"/>
      <c r="BQ13" s="111"/>
      <c r="BR13" s="111"/>
      <c r="BS13" s="111"/>
      <c r="BT13" s="111"/>
      <c r="BU13" s="111"/>
      <c r="BV13" s="111"/>
      <c r="BW13" s="111"/>
      <c r="BX13" s="111"/>
      <c r="BY13" s="71"/>
      <c r="BZ13" s="71"/>
      <c r="CA13" s="71"/>
      <c r="CB13" s="71"/>
      <c r="CC13" s="71"/>
      <c r="CD13" s="71"/>
      <c r="CE13" s="71"/>
      <c r="CF13" s="71"/>
      <c r="CG13" s="71"/>
      <c r="CH13" s="71"/>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c r="ID13"/>
      <c r="IE13"/>
      <c r="IF13"/>
      <c r="IG13"/>
      <c r="IH13"/>
      <c r="II13"/>
      <c r="IJ13"/>
      <c r="IK13"/>
      <c r="IL13"/>
      <c r="IM13"/>
      <c r="IN13"/>
      <c r="IO13"/>
      <c r="IP13"/>
      <c r="IQ13"/>
      <c r="IR13"/>
      <c r="IS13"/>
      <c r="IT13"/>
      <c r="IU13"/>
      <c r="IV13"/>
      <c r="IW13"/>
      <c r="IX13"/>
      <c r="IY13"/>
    </row>
    <row r="14" spans="1:259" s="55" customFormat="1" ht="21" customHeight="1">
      <c r="A14" s="24"/>
      <c r="B14" s="72"/>
      <c r="C14" s="24"/>
      <c r="D14" s="86"/>
      <c r="E14" s="100"/>
      <c r="F14" s="100"/>
      <c r="G14" s="100"/>
      <c r="H14" s="100"/>
      <c r="I14" s="100"/>
      <c r="J14" s="100"/>
      <c r="K14" s="100"/>
      <c r="L14" s="100"/>
      <c r="M14" s="100"/>
      <c r="N14" s="24"/>
      <c r="O14" s="24"/>
      <c r="P14" s="79"/>
      <c r="Q14" s="79"/>
      <c r="R14" s="79"/>
      <c r="S14" s="79"/>
      <c r="T14" s="79"/>
      <c r="U14" s="79"/>
      <c r="V14" s="131"/>
      <c r="W14" s="131"/>
      <c r="X14" s="131"/>
      <c r="Y14" s="131"/>
    </row>
    <row r="15" spans="1:259" s="55" customFormat="1" ht="14.25" customHeight="1">
      <c r="A15" s="24"/>
      <c r="B15" s="72"/>
      <c r="C15" s="24"/>
      <c r="D15" s="86"/>
      <c r="E15" s="24"/>
      <c r="F15" s="24"/>
      <c r="G15" s="24"/>
      <c r="H15" s="24"/>
      <c r="I15" s="24"/>
      <c r="J15" s="24"/>
      <c r="K15" s="24"/>
      <c r="L15" s="24"/>
      <c r="M15" s="24"/>
      <c r="N15" s="24"/>
      <c r="O15" s="24"/>
      <c r="P15" s="79"/>
      <c r="Q15" s="79"/>
      <c r="R15" s="79"/>
      <c r="S15" s="79"/>
      <c r="T15" s="79"/>
      <c r="U15" s="79"/>
      <c r="V15" s="131"/>
      <c r="W15" s="131"/>
      <c r="X15" s="131"/>
      <c r="Y15" s="131"/>
    </row>
    <row r="16" spans="1:259" s="55" customFormat="1" ht="0.75" customHeight="1">
      <c r="A16" s="24"/>
      <c r="B16" s="72"/>
      <c r="C16" s="24"/>
      <c r="D16" s="86"/>
      <c r="E16" s="24"/>
      <c r="F16" s="24"/>
      <c r="G16" s="24"/>
      <c r="H16" s="24"/>
      <c r="I16" s="24"/>
      <c r="J16" s="24"/>
      <c r="K16" s="24"/>
      <c r="L16" s="24"/>
      <c r="M16" s="24"/>
      <c r="N16" s="24"/>
      <c r="O16" s="24"/>
      <c r="P16" s="79"/>
      <c r="Q16" s="79"/>
      <c r="R16" s="79"/>
      <c r="S16" s="79"/>
      <c r="T16" s="79"/>
      <c r="U16" s="79"/>
      <c r="V16" s="131"/>
      <c r="W16" s="131"/>
      <c r="X16" s="131"/>
      <c r="Y16" s="131"/>
    </row>
  </sheetData>
  <sheetProtection formatColumns="0" formatRows="0" insertRows="0" deleteColumns="0" deleteRows="0" sort="0" autoFilter="0"/>
  <mergeCells count="21">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 ref="E2:E3"/>
    <mergeCell ref="F2:F3"/>
    <mergeCell ref="G2:G3"/>
    <mergeCell ref="H2:H3"/>
    <mergeCell ref="I2:I3"/>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xr:uid="{00000000-0002-0000-4100-000000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DD3688-7608-6C03-49E2-E290DFABEF18}">
  <sheetPr>
    <tabColor rgb="FFCCCCFF"/>
    <pageSetUpPr fitToPage="1"/>
  </sheetPr>
  <dimension ref="A1:L12"/>
  <sheetViews>
    <sheetView showGridLines="0" topLeftCell="C6" zoomScale="90" workbookViewId="0"/>
  </sheetViews>
  <sheetFormatPr defaultColWidth="9.140625" defaultRowHeight="14.25" customHeight="1"/>
  <cols>
    <col min="1" max="2" width="9.140625" style="9" hidden="1"/>
    <col min="3" max="3" width="3.7109375" style="31" customWidth="1"/>
    <col min="4" max="4" width="6.28515625" style="9" customWidth="1"/>
    <col min="5" max="5" width="94.85546875" style="9" customWidth="1"/>
    <col min="6" max="12" width="9.140625" style="9"/>
  </cols>
  <sheetData>
    <row r="1" spans="3:6" ht="14.25" hidden="1" customHeight="1"/>
    <row r="2" spans="3:6" ht="14.25" hidden="1" customHeight="1"/>
    <row r="3" spans="3:6" ht="14.25" hidden="1" customHeight="1"/>
    <row r="4" spans="3:6" ht="14.25" hidden="1" customHeight="1"/>
    <row r="5" spans="3:6" ht="14.25" hidden="1" customHeight="1"/>
    <row r="6" spans="3:6" ht="3" customHeight="1">
      <c r="C6" s="32"/>
      <c r="D6" s="10"/>
      <c r="E6" s="10"/>
    </row>
    <row r="7" spans="3:6" ht="22.5" customHeight="1">
      <c r="C7" s="32"/>
      <c r="D7" s="1109" t="s">
        <v>2167</v>
      </c>
      <c r="E7" s="1109"/>
      <c r="F7" s="161"/>
    </row>
    <row r="8" spans="3:6" ht="3" customHeight="1">
      <c r="C8" s="32"/>
      <c r="D8" s="10"/>
      <c r="E8" s="10"/>
    </row>
    <row r="9" spans="3:6" ht="15.75" customHeight="1">
      <c r="C9" s="32"/>
      <c r="D9" s="45" t="s">
        <v>88</v>
      </c>
      <c r="E9" s="48" t="s">
        <v>279</v>
      </c>
    </row>
    <row r="10" spans="3:6" ht="12" customHeight="1">
      <c r="C10" s="32"/>
      <c r="D10" s="28" t="s">
        <v>109</v>
      </c>
      <c r="E10" s="28" t="s">
        <v>110</v>
      </c>
    </row>
    <row r="11" spans="3:6" ht="15" hidden="1" customHeight="1">
      <c r="C11" s="32"/>
      <c r="D11" s="53">
        <v>0</v>
      </c>
      <c r="E11" s="74"/>
    </row>
    <row r="12" spans="3:6" ht="14.25" customHeight="1">
      <c r="C12" s="32"/>
      <c r="D12" s="49"/>
      <c r="E12" s="47" t="s">
        <v>2126</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42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B49FB7-B06C-6C32-00B8-1CEE9715F402}">
  <sheetPr>
    <tabColor rgb="FFCCCCFF"/>
  </sheetPr>
  <dimension ref="B1:E4"/>
  <sheetViews>
    <sheetView showGridLines="0" zoomScale="90" workbookViewId="0"/>
  </sheetViews>
  <sheetFormatPr defaultColWidth="9.140625" defaultRowHeight="11.25" customHeight="1"/>
  <cols>
    <col min="1" max="1" width="1.7109375" customWidth="1"/>
    <col min="2" max="2" width="34.5703125" customWidth="1"/>
    <col min="3" max="3" width="85.5703125" customWidth="1"/>
    <col min="4" max="4" width="17.7109375" customWidth="1"/>
  </cols>
  <sheetData>
    <row r="1" spans="2:5" ht="3" customHeight="1"/>
    <row r="2" spans="2:5" ht="22.5" customHeight="1">
      <c r="B2" s="1522" t="s">
        <v>2168</v>
      </c>
      <c r="C2" s="1522"/>
      <c r="D2" s="1522"/>
      <c r="E2" s="162"/>
    </row>
    <row r="3" spans="2:5" ht="3" customHeight="1"/>
    <row r="4" spans="2:5" ht="21.75" customHeight="1">
      <c r="B4" s="237" t="s">
        <v>2169</v>
      </c>
      <c r="C4" s="237" t="s">
        <v>2170</v>
      </c>
      <c r="D4" s="237" t="s">
        <v>2171</v>
      </c>
    </row>
  </sheetData>
  <sheetProtection formatColumns="0" formatRows="0" insertRows="0" deleteColumns="0" deleteRows="0" sort="0" autoFilter="0"/>
  <autoFilter ref="B4:D4" xr:uid="{00000000-0009-0000-0000-00004300000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458891-CE93-3D4F-BE95-50E247F4A5E9}">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360A14-FB3A-792A-099F-B612EE051385}">
  <sheetPr>
    <tabColor theme="3" tint="0.59999389629810485"/>
  </sheetPr>
  <dimension ref="A1:I58"/>
  <sheetViews>
    <sheetView showGridLines="0" topLeftCell="C3" zoomScale="90" workbookViewId="0"/>
  </sheetViews>
  <sheetFormatPr defaultColWidth="9.140625" defaultRowHeight="11.25" customHeight="1"/>
  <cols>
    <col min="1" max="1" width="15" style="10" hidden="1" customWidth="1"/>
    <col min="2" max="2" width="15" style="313" hidden="1" customWidth="1"/>
    <col min="3" max="3" width="3.7109375" style="277" customWidth="1"/>
    <col min="4" max="4" width="6.85546875" style="278" customWidth="1"/>
    <col min="5" max="5" width="52.28515625" style="277" customWidth="1"/>
    <col min="6" max="6" width="48.85546875" style="277" customWidth="1"/>
    <col min="7" max="7" width="121.7109375" style="277" customWidth="1"/>
    <col min="8" max="8" width="9.140625" style="277"/>
    <col min="9" max="9" width="65" style="277" customWidth="1"/>
  </cols>
  <sheetData>
    <row r="1" spans="1:9" ht="11.25" hidden="1" customHeight="1">
      <c r="A1" s="10" t="s">
        <v>291</v>
      </c>
    </row>
    <row r="2" spans="1:9" ht="11.25" hidden="1" customHeight="1"/>
    <row r="3" spans="1:9" s="295" customFormat="1" ht="11.25" customHeight="1">
      <c r="A3" s="10"/>
      <c r="B3" s="313"/>
      <c r="D3" s="296"/>
    </row>
    <row r="4" spans="1:9" ht="36.75" customHeight="1">
      <c r="D4" s="1116" t="str">
        <f>ORG_INFO_NAME_FORM</f>
        <v>Форма 1. Информация о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 (общая информация)</v>
      </c>
      <c r="E4" s="1117"/>
      <c r="F4" s="1118"/>
      <c r="I4" s="439"/>
    </row>
    <row r="5" spans="1:9" ht="17.25" customHeight="1">
      <c r="D5" s="1215" t="str">
        <f>IF(org=0,"Не определено",org)</f>
        <v>ООО "ТЕПЛО ПЛЮС"</v>
      </c>
      <c r="E5" s="1215"/>
      <c r="F5" s="1215"/>
      <c r="I5" s="439"/>
    </row>
    <row r="6" spans="1:9" s="295" customFormat="1" ht="11.25" customHeight="1">
      <c r="A6" s="10"/>
      <c r="B6" s="313"/>
      <c r="D6" s="438"/>
      <c r="E6" s="438"/>
      <c r="F6" s="463"/>
      <c r="G6" s="438"/>
    </row>
    <row r="7" spans="1:9" ht="11.25" hidden="1" customHeight="1">
      <c r="A7" s="25"/>
      <c r="B7" s="314"/>
      <c r="C7" s="25"/>
      <c r="D7" s="35"/>
      <c r="E7" s="1211"/>
      <c r="F7" s="1211"/>
    </row>
    <row r="8" spans="1:9" ht="11.25" customHeight="1">
      <c r="A8" s="25"/>
      <c r="B8" s="314"/>
      <c r="C8" s="25"/>
      <c r="D8" s="1207" t="s">
        <v>292</v>
      </c>
      <c r="E8" s="1208"/>
      <c r="F8" s="1208"/>
      <c r="G8" s="1212" t="s">
        <v>293</v>
      </c>
    </row>
    <row r="9" spans="1:9" ht="11.25" customHeight="1">
      <c r="A9" s="25"/>
      <c r="B9" s="314"/>
      <c r="C9" s="25"/>
      <c r="D9" s="291" t="s">
        <v>88</v>
      </c>
      <c r="E9" s="275" t="s">
        <v>294</v>
      </c>
      <c r="F9" s="275" t="s">
        <v>295</v>
      </c>
      <c r="G9" s="1213"/>
    </row>
    <row r="10" spans="1:9" ht="12" hidden="1" customHeight="1">
      <c r="A10" s="25"/>
      <c r="B10" s="314"/>
      <c r="C10" s="25"/>
      <c r="D10" s="284"/>
      <c r="E10" s="284"/>
      <c r="F10" s="284"/>
      <c r="G10" s="284"/>
    </row>
    <row r="11" spans="1:9" ht="22.5" hidden="1" customHeight="1">
      <c r="A11" s="25"/>
      <c r="B11" s="314"/>
      <c r="C11" s="25"/>
      <c r="D11" s="633" t="s">
        <v>109</v>
      </c>
      <c r="E11" s="342" t="s">
        <v>296</v>
      </c>
      <c r="F11" s="389" t="str">
        <f>IF(region_name="","",region_name)</f>
        <v>Нижегородская область</v>
      </c>
      <c r="G11" s="342" t="s">
        <v>297</v>
      </c>
      <c r="H11" s="293"/>
    </row>
    <row r="12" spans="1:9" ht="22.5" hidden="1" customHeight="1">
      <c r="A12" s="25"/>
      <c r="B12" s="314"/>
      <c r="C12" s="25"/>
      <c r="D12" s="274" t="s">
        <v>109</v>
      </c>
      <c r="E12" s="273"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8" t="s">
        <v>298</v>
      </c>
      <c r="G12" s="292"/>
      <c r="H12" s="293"/>
    </row>
    <row r="13" spans="1:9" ht="22.5" customHeight="1">
      <c r="A13" s="25"/>
      <c r="B13" s="314"/>
      <c r="C13" s="25"/>
      <c r="D13" s="274" t="s">
        <v>109</v>
      </c>
      <c r="E13" s="272" t="str">
        <f>"Наименование юридического лица"&amp;IF(TEMPLATE_SPHERE="TKO"," (индивидуального предпринимателя)","")</f>
        <v>Наименование юридического лица</v>
      </c>
      <c r="F13" s="271"/>
      <c r="G13" s="273"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293"/>
    </row>
    <row r="14" spans="1:9" ht="22.5" hidden="1" customHeight="1">
      <c r="A14" s="25"/>
      <c r="B14" s="314"/>
      <c r="C14" s="25"/>
      <c r="D14" s="633" t="s">
        <v>299</v>
      </c>
      <c r="E14" s="634" t="s">
        <v>300</v>
      </c>
      <c r="F14" s="389" t="str">
        <f>IF(inn="","",inn)</f>
        <v>5261113456</v>
      </c>
      <c r="G14" s="342" t="s">
        <v>301</v>
      </c>
      <c r="H14" s="293"/>
    </row>
    <row r="15" spans="1:9" ht="22.5" hidden="1" customHeight="1">
      <c r="A15" s="25"/>
      <c r="B15" s="314"/>
      <c r="C15" s="25"/>
      <c r="D15" s="633" t="s">
        <v>302</v>
      </c>
      <c r="E15" s="634" t="s">
        <v>303</v>
      </c>
      <c r="F15" s="389" t="str">
        <f>IF(kpp="","",kpp)</f>
        <v>526101001</v>
      </c>
      <c r="G15" s="342" t="s">
        <v>304</v>
      </c>
      <c r="H15" s="293"/>
    </row>
    <row r="16" spans="1:9" ht="36.75" customHeight="1">
      <c r="A16" s="25"/>
      <c r="B16" s="314"/>
      <c r="C16" s="25"/>
      <c r="D16" s="274" t="s">
        <v>110</v>
      </c>
      <c r="E16" s="27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71"/>
      <c r="G16" s="273"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93"/>
    </row>
    <row r="17" spans="1:9" ht="22.5" customHeight="1">
      <c r="A17" s="25"/>
      <c r="B17" s="314"/>
      <c r="C17" s="25"/>
      <c r="D17" s="274" t="s">
        <v>90</v>
      </c>
      <c r="E17" s="272" t="str">
        <f>"Дата присвоения ОГРН"&amp;IF(TEMPLATE_SPHERE="TKO",""," (ОГРНИП)")</f>
        <v>Дата присвоения ОГРН (ОГРНИП)</v>
      </c>
      <c r="F17" s="988" t="s">
        <v>17</v>
      </c>
      <c r="G17" s="273" t="str">
        <f>"Дата присвоения ОГРН"&amp;IF(TEMPLATE_SPHERE="TKO",""," (ОГРНИП)")&amp;" указывается в виде «ДД.ММ.ГГГГ»."</f>
        <v>Дата присвоения ОГРН (ОГРНИП) указывается в виде «ДД.ММ.ГГГГ».</v>
      </c>
      <c r="H17" s="293"/>
    </row>
    <row r="18" spans="1:9" ht="56.25" customHeight="1">
      <c r="A18" s="25"/>
      <c r="B18" s="314"/>
      <c r="C18" s="25"/>
      <c r="D18" s="274" t="s">
        <v>91</v>
      </c>
      <c r="E18" s="27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71"/>
      <c r="G18" s="292"/>
      <c r="H18" s="293"/>
    </row>
    <row r="19" spans="1:9" ht="22.5" hidden="1" customHeight="1">
      <c r="A19" s="1209">
        <v>1</v>
      </c>
      <c r="B19" s="314"/>
      <c r="C19" s="1214"/>
      <c r="D19" s="270">
        <v>5</v>
      </c>
      <c r="E19" s="272" t="s">
        <v>305</v>
      </c>
      <c r="F19" s="48" t="s">
        <v>298</v>
      </c>
      <c r="G19" s="273" t="s">
        <v>306</v>
      </c>
      <c r="H19" s="293"/>
      <c r="I19" s="524"/>
    </row>
    <row r="20" spans="1:9" ht="33.75" hidden="1" customHeight="1">
      <c r="A20" s="1209"/>
      <c r="B20" s="314"/>
      <c r="C20" s="1214"/>
      <c r="D20" s="274" t="s">
        <v>307</v>
      </c>
      <c r="E20" s="269" t="s">
        <v>308</v>
      </c>
      <c r="F20" s="548" t="s">
        <v>17</v>
      </c>
      <c r="G20" s="292"/>
      <c r="H20" s="293"/>
      <c r="I20" s="524"/>
    </row>
    <row r="21" spans="1:9" ht="22.5" hidden="1" customHeight="1">
      <c r="A21" s="1209"/>
      <c r="B21" s="314"/>
      <c r="C21" s="1214"/>
      <c r="D21" s="274" t="s">
        <v>309</v>
      </c>
      <c r="E21" s="269" t="s">
        <v>310</v>
      </c>
      <c r="F21" s="989" t="s">
        <v>17</v>
      </c>
      <c r="G21" s="273" t="s">
        <v>311</v>
      </c>
      <c r="H21" s="293"/>
      <c r="I21" s="524"/>
    </row>
    <row r="22" spans="1:9" ht="22.5" hidden="1" customHeight="1">
      <c r="A22" s="1209"/>
      <c r="B22" s="314"/>
      <c r="C22" s="1214"/>
      <c r="D22" s="274" t="s">
        <v>312</v>
      </c>
      <c r="E22" s="269" t="s">
        <v>313</v>
      </c>
      <c r="F22" s="548" t="s">
        <v>17</v>
      </c>
      <c r="G22" s="292"/>
      <c r="H22" s="293"/>
      <c r="I22" s="524"/>
    </row>
    <row r="23" spans="1:9" ht="22.5" hidden="1" customHeight="1">
      <c r="A23" s="1209"/>
      <c r="B23" s="314"/>
      <c r="C23" s="1214"/>
      <c r="D23" s="274" t="s">
        <v>314</v>
      </c>
      <c r="E23" s="269" t="s">
        <v>315</v>
      </c>
      <c r="F23" s="548" t="s">
        <v>17</v>
      </c>
      <c r="G23" s="273" t="s">
        <v>316</v>
      </c>
      <c r="H23" s="293"/>
      <c r="I23" s="524"/>
    </row>
    <row r="24" spans="1:9" s="313" customFormat="1" ht="24.75" hidden="1" customHeight="1">
      <c r="A24" s="25"/>
      <c r="B24" s="314"/>
      <c r="C24" s="314"/>
      <c r="D24" s="630" t="s">
        <v>90</v>
      </c>
      <c r="E24" s="632" t="s">
        <v>317</v>
      </c>
      <c r="F24" s="341" t="s">
        <v>298</v>
      </c>
      <c r="G24" s="632"/>
    </row>
    <row r="25" spans="1:9" s="313" customFormat="1" ht="11.25" hidden="1" customHeight="1">
      <c r="A25" s="25"/>
      <c r="B25" s="314"/>
      <c r="C25" s="314"/>
      <c r="D25" s="630" t="s">
        <v>318</v>
      </c>
      <c r="E25" s="631" t="s">
        <v>319</v>
      </c>
      <c r="F25" s="341" t="s">
        <v>298</v>
      </c>
      <c r="G25" s="632"/>
    </row>
    <row r="26" spans="1:9" s="313" customFormat="1" ht="11.25" hidden="1" customHeight="1">
      <c r="A26" s="25"/>
      <c r="B26" s="314"/>
      <c r="C26" s="314"/>
      <c r="D26" s="630" t="s">
        <v>320</v>
      </c>
      <c r="E26" s="635" t="s">
        <v>321</v>
      </c>
      <c r="F26" s="636"/>
      <c r="G26" s="63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row>
    <row r="27" spans="1:9" s="313" customFormat="1" ht="11.25" hidden="1" customHeight="1">
      <c r="A27" s="25"/>
      <c r="B27" s="314"/>
      <c r="C27" s="314"/>
      <c r="D27" s="630" t="s">
        <v>322</v>
      </c>
      <c r="E27" s="635" t="s">
        <v>323</v>
      </c>
      <c r="F27" s="636"/>
      <c r="G27" s="63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row>
    <row r="28" spans="1:9" s="313" customFormat="1" ht="11.25" hidden="1" customHeight="1">
      <c r="A28" s="25"/>
      <c r="B28" s="314"/>
      <c r="C28" s="314"/>
      <c r="D28" s="630" t="s">
        <v>324</v>
      </c>
      <c r="E28" s="635" t="s">
        <v>325</v>
      </c>
      <c r="F28" s="636"/>
      <c r="G28" s="63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row>
    <row r="29" spans="1:9" s="313" customFormat="1" ht="11.25" hidden="1" customHeight="1">
      <c r="A29" s="25"/>
      <c r="B29" s="314"/>
      <c r="C29" s="314"/>
      <c r="D29" s="630" t="s">
        <v>326</v>
      </c>
      <c r="E29" s="631" t="s">
        <v>327</v>
      </c>
      <c r="F29" s="636"/>
      <c r="G29" s="632"/>
    </row>
    <row r="30" spans="1:9" s="313" customFormat="1" ht="11.25" hidden="1" customHeight="1">
      <c r="A30" s="25"/>
      <c r="B30" s="314"/>
      <c r="C30" s="314"/>
      <c r="D30" s="630" t="s">
        <v>328</v>
      </c>
      <c r="E30" s="631" t="s">
        <v>329</v>
      </c>
      <c r="F30" s="636"/>
      <c r="G30" s="632"/>
    </row>
    <row r="31" spans="1:9" s="313" customFormat="1" ht="11.25" hidden="1" customHeight="1">
      <c r="A31" s="25"/>
      <c r="B31" s="314"/>
      <c r="C31" s="314"/>
      <c r="D31" s="630" t="s">
        <v>330</v>
      </c>
      <c r="E31" s="631" t="s">
        <v>331</v>
      </c>
      <c r="F31" s="1039"/>
      <c r="G31" s="632"/>
    </row>
    <row r="32" spans="1:9" ht="22.5" customHeight="1">
      <c r="A32" s="25" t="str">
        <f>IF(TEMPLATE_SPHERE="HEAT","6","5")</f>
        <v>6</v>
      </c>
      <c r="B32" s="314"/>
      <c r="C32" s="25"/>
      <c r="D32" s="270" t="str">
        <f>A32</f>
        <v>6</v>
      </c>
      <c r="E32" s="26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2" s="48" t="s">
        <v>298</v>
      </c>
      <c r="G32" s="292"/>
      <c r="H32" s="293"/>
    </row>
    <row r="33" spans="1:8" ht="22.5" customHeight="1">
      <c r="A33" s="25"/>
      <c r="B33" s="314"/>
      <c r="C33" s="25"/>
      <c r="D33" s="270" t="str">
        <f>D32&amp;".1"</f>
        <v>6.1</v>
      </c>
      <c r="E33" s="272" t="str">
        <f>"фамилия"&amp;IF(TEMPLATE_SPHERE&lt;&gt;"HEAT"," руководителя","")</f>
        <v>фамилия</v>
      </c>
      <c r="F33" s="271"/>
      <c r="G33" s="273"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3" s="293"/>
    </row>
    <row r="34" spans="1:8" ht="22.5" customHeight="1">
      <c r="A34" s="25"/>
      <c r="B34" s="314"/>
      <c r="C34" s="25"/>
      <c r="D34" s="270" t="str">
        <f>D32&amp;".2"</f>
        <v>6.2</v>
      </c>
      <c r="E34" s="272" t="str">
        <f>"имя"&amp;IF(TEMPLATE_SPHERE&lt;&gt;"HEAT"," руководителя","")</f>
        <v>имя</v>
      </c>
      <c r="F34" s="271"/>
      <c r="G34" s="273"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4" s="293"/>
    </row>
    <row r="35" spans="1:8" ht="22.5" customHeight="1">
      <c r="A35" s="25"/>
      <c r="B35" s="314"/>
      <c r="C35" s="25"/>
      <c r="D35" s="270" t="str">
        <f>D32&amp;".3"</f>
        <v>6.3</v>
      </c>
      <c r="E35" s="272" t="str">
        <f>"отчество"&amp;IF(TEMPLATE_SPHERE&lt;&gt;"HEAT"," руководителя","")</f>
        <v>отчество</v>
      </c>
      <c r="F35" s="428"/>
      <c r="G35" s="273"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5" s="293"/>
    </row>
    <row r="36" spans="1:8" ht="33.75" customHeight="1">
      <c r="A36" s="25"/>
      <c r="B36" s="314"/>
      <c r="C36" s="25"/>
      <c r="D36" s="270">
        <f>D32+1</f>
        <v>7</v>
      </c>
      <c r="E36" s="26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6" s="271"/>
      <c r="G36" s="273" t="s">
        <v>332</v>
      </c>
      <c r="H36" s="293"/>
    </row>
    <row r="37" spans="1:8" ht="33.75" customHeight="1">
      <c r="A37" s="25"/>
      <c r="B37" s="314"/>
      <c r="C37" s="25"/>
      <c r="D37" s="270">
        <f>D36+1</f>
        <v>8</v>
      </c>
      <c r="E37" s="26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7" s="271"/>
      <c r="G37" s="273" t="s">
        <v>332</v>
      </c>
      <c r="H37" s="293"/>
    </row>
    <row r="38" spans="1:8" ht="22.5" customHeight="1">
      <c r="A38" s="25"/>
      <c r="B38" s="314"/>
      <c r="C38" s="25"/>
      <c r="D38" s="270">
        <f>D37+1</f>
        <v>9</v>
      </c>
      <c r="E38" s="26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8" s="48" t="s">
        <v>298</v>
      </c>
      <c r="G38" s="121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293"/>
    </row>
    <row r="39" spans="1:8" ht="22.5" hidden="1" customHeight="1">
      <c r="A39" s="25"/>
      <c r="B39" s="314"/>
      <c r="C39" s="25"/>
      <c r="D39" s="270" t="str">
        <f>D38&amp;".0"</f>
        <v>9.0</v>
      </c>
      <c r="E39" s="421"/>
      <c r="F39" s="548"/>
      <c r="G39" s="1217"/>
      <c r="H39" s="293"/>
    </row>
    <row r="40" spans="1:8" ht="22.5" customHeight="1">
      <c r="A40" s="25"/>
      <c r="B40" s="25"/>
      <c r="C40" s="29"/>
      <c r="D40" s="270" t="str">
        <f>D38&amp;".1"</f>
        <v>9.1</v>
      </c>
      <c r="E40" s="532"/>
      <c r="F40" s="427"/>
      <c r="G40" s="1217"/>
      <c r="H40" s="293"/>
    </row>
    <row r="41" spans="1:8" ht="15" customHeight="1">
      <c r="A41" s="25"/>
      <c r="B41" s="314"/>
      <c r="C41" s="25"/>
      <c r="D41" s="286"/>
      <c r="E41" s="116" t="s">
        <v>333</v>
      </c>
      <c r="F41" s="288"/>
      <c r="G41" s="1218"/>
      <c r="H41" s="294"/>
    </row>
    <row r="42" spans="1:8" ht="25.5" customHeight="1">
      <c r="A42" s="25"/>
      <c r="B42" s="314"/>
      <c r="C42" s="25"/>
      <c r="D42" s="270">
        <f>D38+1</f>
        <v>10</v>
      </c>
      <c r="E42" s="26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2" s="1040"/>
      <c r="G42" s="273"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293"/>
    </row>
    <row r="43" spans="1:8" ht="22.5" customHeight="1">
      <c r="A43" s="25"/>
      <c r="B43" s="314"/>
      <c r="C43" s="25"/>
      <c r="D43" s="270">
        <f>D42+1</f>
        <v>11</v>
      </c>
      <c r="E43" s="26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3" s="1041"/>
      <c r="G43" s="292" t="s">
        <v>334</v>
      </c>
      <c r="H43" s="293"/>
    </row>
    <row r="44" spans="1:8" ht="22.5" customHeight="1">
      <c r="A44" s="25"/>
      <c r="B44" s="314"/>
      <c r="C44" s="25"/>
      <c r="D44" s="270">
        <f>D43+1</f>
        <v>12</v>
      </c>
      <c r="E44" s="268" t="s">
        <v>335</v>
      </c>
      <c r="F44" s="48" t="s">
        <v>298</v>
      </c>
      <c r="G44" s="267" t="str">
        <f>IF(TEMPLATE_SPHERE="TKO","Указывается режим работы организации.","")</f>
        <v/>
      </c>
      <c r="H44" s="293"/>
    </row>
    <row r="45" spans="1:8" ht="22.5" customHeight="1">
      <c r="A45" s="25"/>
      <c r="B45" s="314"/>
      <c r="C45" s="25"/>
      <c r="D45" s="270" t="str">
        <f>D44&amp;".1"</f>
        <v>12.1</v>
      </c>
      <c r="E45" s="272" t="str">
        <f>"режим работы регулируемой организации"&amp;IF(TEMPLATE_SPHERE="HEAT",", ЕТО, ТО","")</f>
        <v>режим работы регулируемой организации, ЕТО, ТО</v>
      </c>
      <c r="F45" s="118"/>
      <c r="G45" s="267" t="s">
        <v>336</v>
      </c>
      <c r="H45" s="293"/>
    </row>
    <row r="46" spans="1:8" ht="22.5" customHeight="1">
      <c r="A46" s="1205"/>
      <c r="B46" s="314"/>
      <c r="C46" s="307"/>
      <c r="D46" s="270" t="str">
        <f>D44&amp;".2"</f>
        <v>12.2</v>
      </c>
      <c r="E46" s="272" t="s">
        <v>337</v>
      </c>
      <c r="F46" s="118"/>
      <c r="G46" s="267" t="s">
        <v>338</v>
      </c>
      <c r="H46" s="293"/>
    </row>
    <row r="47" spans="1:8" ht="22.5" customHeight="1">
      <c r="A47" s="1205"/>
      <c r="B47" s="314"/>
      <c r="C47" s="307"/>
      <c r="D47" s="270" t="str">
        <f>D44&amp;".3"</f>
        <v>12.3</v>
      </c>
      <c r="E47" s="272" t="s">
        <v>339</v>
      </c>
      <c r="F47" s="118"/>
      <c r="G47" s="267" t="s">
        <v>340</v>
      </c>
      <c r="H47" s="293"/>
    </row>
    <row r="48" spans="1:8" ht="22.5" customHeight="1">
      <c r="A48" s="1205"/>
      <c r="B48" s="314"/>
      <c r="C48" s="307"/>
      <c r="D48" s="270" t="str">
        <f>IF(TEMPLATE_SPHERE="TKO",D44&amp;".0",D44&amp;".4")</f>
        <v>12.4</v>
      </c>
      <c r="E48" s="266" t="s">
        <v>341</v>
      </c>
      <c r="F48" s="533"/>
      <c r="G48" s="1027" t="s">
        <v>342</v>
      </c>
      <c r="H48" s="293"/>
    </row>
    <row r="49" spans="1:9" ht="22.5" customHeight="1">
      <c r="A49" s="25"/>
      <c r="B49" s="314"/>
      <c r="C49" s="25"/>
      <c r="D49" s="286"/>
      <c r="E49" s="116" t="s">
        <v>343</v>
      </c>
      <c r="F49" s="287"/>
      <c r="G49" s="1027" t="s">
        <v>344</v>
      </c>
      <c r="H49" s="294"/>
    </row>
    <row r="50" spans="1:9" ht="22.5" customHeight="1">
      <c r="A50" s="530"/>
      <c r="B50" s="314"/>
      <c r="C50" s="307"/>
      <c r="D50" s="270">
        <f>D44+1</f>
        <v>13</v>
      </c>
      <c r="E50" s="324" t="s">
        <v>345</v>
      </c>
      <c r="F50" s="118"/>
      <c r="G50" s="95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0" s="293"/>
    </row>
    <row r="51" spans="1:9" ht="11.25" customHeight="1">
      <c r="A51" s="25"/>
      <c r="B51" s="314"/>
      <c r="C51" s="25"/>
    </row>
    <row r="52" spans="1:9" s="281" customFormat="1" ht="30" customHeight="1">
      <c r="A52" s="952"/>
      <c r="B52" s="315"/>
      <c r="C52" s="1206"/>
      <c r="D52" s="121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2" s="1210"/>
      <c r="F52" s="1210"/>
      <c r="G52" s="1210"/>
      <c r="H52" s="276"/>
      <c r="I52" s="276"/>
    </row>
    <row r="53" spans="1:9" s="281" customFormat="1" ht="39.75" customHeight="1">
      <c r="A53" s="25"/>
      <c r="B53" s="314"/>
      <c r="C53" s="1206"/>
      <c r="D53" s="1210"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3" s="1210"/>
      <c r="F53" s="1210"/>
      <c r="G53" s="1210"/>
    </row>
    <row r="54" spans="1:9" ht="11.25" customHeight="1">
      <c r="D54" s="279"/>
      <c r="E54" s="280"/>
      <c r="F54" s="280"/>
      <c r="G54" s="280"/>
    </row>
    <row r="55" spans="1:9" ht="27" customHeight="1">
      <c r="D55" s="282"/>
      <c r="E55" s="279"/>
      <c r="F55" s="289"/>
      <c r="G55" s="289"/>
    </row>
    <row r="56" spans="1:9" ht="11.25" customHeight="1">
      <c r="D56" s="279"/>
      <c r="E56" s="279"/>
      <c r="F56" s="280"/>
      <c r="G56" s="280"/>
    </row>
    <row r="57" spans="1:9" ht="39" customHeight="1">
      <c r="D57" s="283"/>
      <c r="E57" s="290"/>
      <c r="F57" s="290"/>
      <c r="G57" s="290"/>
    </row>
    <row r="58" spans="1:9" ht="27" customHeight="1">
      <c r="D58" s="283"/>
      <c r="E58" s="290"/>
      <c r="F58" s="290"/>
      <c r="G58" s="290"/>
    </row>
  </sheetData>
  <sheetProtection formatColumns="0" formatRows="0" insertRows="0" deleteColumns="0" deleteRows="0" sort="0" autoFilter="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0000000}"/>
    <dataValidation type="textLength" operator="lessThanOrEqual" allowBlank="1" showInputMessage="1" showErrorMessage="1" errorTitle="Ошибка" error="Допускается ввод не более 900 символов!" sqref="F13 F42:F43 F26:F31 F16 F22:F23 F18 F20 F33:F37 E39:F40" xr:uid="{00000000-0002-0000-06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xr:uid="{00000000-0002-0000-0600-000002000000}">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14B955-C4A2-FEA3-3327-0BF8719F78AE}">
  <dimension ref="A1:E8"/>
  <sheetViews>
    <sheetView showGridLines="0" workbookViewId="0"/>
  </sheetViews>
  <sheetFormatPr defaultRowHeight="11.25" customHeight="1"/>
  <cols>
    <col min="1" max="1" width="10.5703125" customWidth="1"/>
    <col min="2" max="2" width="8.7109375" customWidth="1"/>
    <col min="3" max="3" width="18.140625" customWidth="1"/>
    <col min="4" max="4" width="12.5703125" customWidth="1"/>
  </cols>
  <sheetData>
    <row r="1" spans="1:5" ht="11.25" customHeight="1">
      <c r="A1" s="464" t="s">
        <v>2172</v>
      </c>
      <c r="B1" s="468" t="s">
        <v>2173</v>
      </c>
      <c r="C1" s="1523" t="s">
        <v>2174</v>
      </c>
      <c r="D1" s="1524"/>
      <c r="E1" s="464" t="s">
        <v>2175</v>
      </c>
    </row>
    <row r="2" spans="1:5" ht="11.25" customHeight="1">
      <c r="A2" s="467"/>
      <c r="B2" s="469" t="s">
        <v>22</v>
      </c>
      <c r="C2" s="464"/>
      <c r="D2" s="468"/>
      <c r="E2" s="464"/>
    </row>
    <row r="3" spans="1:5" ht="11.25" customHeight="1">
      <c r="A3" s="472"/>
      <c r="B3" s="470" t="s">
        <v>28</v>
      </c>
      <c r="C3" s="464"/>
      <c r="D3" s="468"/>
      <c r="E3" s="464"/>
    </row>
    <row r="4" spans="1:5" ht="11.25" customHeight="1">
      <c r="A4" s="473"/>
      <c r="B4" s="470" t="s">
        <v>718</v>
      </c>
      <c r="C4" s="464"/>
      <c r="D4" s="468"/>
      <c r="E4" s="464"/>
    </row>
    <row r="5" spans="1:5" ht="11.25" customHeight="1">
      <c r="A5" s="481"/>
      <c r="B5" s="470" t="s">
        <v>493</v>
      </c>
      <c r="C5" s="466" t="s">
        <v>454</v>
      </c>
      <c r="D5" s="547" t="s">
        <v>2176</v>
      </c>
      <c r="E5" s="464"/>
    </row>
    <row r="6" spans="1:5" ht="11.25" customHeight="1">
      <c r="A6" s="471"/>
      <c r="B6" s="470" t="s">
        <v>725</v>
      </c>
      <c r="C6" s="464"/>
      <c r="D6" s="468"/>
      <c r="E6" s="464"/>
    </row>
    <row r="7" spans="1:5" ht="11.25" customHeight="1">
      <c r="A7" s="465"/>
      <c r="B7" s="470" t="s">
        <v>727</v>
      </c>
      <c r="C7" s="464"/>
      <c r="D7" s="468"/>
      <c r="E7" s="464"/>
    </row>
    <row r="8" spans="1:5" ht="11.25" customHeight="1">
      <c r="A8" s="466"/>
      <c r="B8" s="470" t="s">
        <v>726</v>
      </c>
      <c r="C8" s="464"/>
      <c r="D8" s="468"/>
      <c r="E8" s="464"/>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13E10A-9E38-A304-DB69-06ADD7A507BE}">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69337F-EE33-15B2-39B3-2F8FAF7458BE}">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2FD1AF-50E8-6F41-DF3E-0230246E0EE7}">
  <sheetPr>
    <tabColor rgb="FFFFCC99"/>
  </sheetPr>
  <dimension ref="A1:N998"/>
  <sheetViews>
    <sheetView showGridLines="0" workbookViewId="0"/>
  </sheetViews>
  <sheetFormatPr defaultColWidth="9.140625" defaultRowHeight="11.25" customHeight="1"/>
  <cols>
    <col min="3" max="3" width="20.7109375" customWidth="1"/>
    <col min="4" max="4" width="25.140625" customWidth="1"/>
  </cols>
  <sheetData>
    <row r="1" spans="1:14" ht="11.25" customHeight="1">
      <c r="A1" t="s">
        <v>2177</v>
      </c>
      <c r="B1" t="s">
        <v>2178</v>
      </c>
      <c r="C1" t="s">
        <v>2179</v>
      </c>
      <c r="D1" t="s">
        <v>2180</v>
      </c>
      <c r="E1" t="s">
        <v>2181</v>
      </c>
      <c r="F1" t="s">
        <v>2182</v>
      </c>
      <c r="G1" t="s">
        <v>2183</v>
      </c>
      <c r="H1" t="s">
        <v>2184</v>
      </c>
      <c r="I1" t="s">
        <v>2185</v>
      </c>
      <c r="J1" t="s">
        <v>2186</v>
      </c>
      <c r="K1" t="s">
        <v>2187</v>
      </c>
      <c r="L1" t="s">
        <v>2188</v>
      </c>
      <c r="M1" t="s">
        <v>2189</v>
      </c>
      <c r="N1" t="s">
        <v>2190</v>
      </c>
    </row>
    <row r="2" spans="1:14" ht="11.25" customHeight="1">
      <c r="A2" t="s">
        <v>2191</v>
      </c>
      <c r="B2" t="s">
        <v>14</v>
      </c>
      <c r="C2" t="s">
        <v>2192</v>
      </c>
      <c r="D2" t="s">
        <v>2193</v>
      </c>
      <c r="E2" t="s">
        <v>2194</v>
      </c>
      <c r="F2" t="s">
        <v>2195</v>
      </c>
      <c r="G2" t="s">
        <v>17</v>
      </c>
      <c r="H2" t="s">
        <v>17</v>
      </c>
      <c r="I2" t="s">
        <v>2196</v>
      </c>
      <c r="J2" t="s">
        <v>17</v>
      </c>
      <c r="K2" t="s">
        <v>870</v>
      </c>
      <c r="L2" t="s">
        <v>2197</v>
      </c>
      <c r="M2" t="s">
        <v>2198</v>
      </c>
      <c r="N2" t="s">
        <v>392</v>
      </c>
    </row>
    <row r="3" spans="1:14" ht="11.25" customHeight="1">
      <c r="A3" t="s">
        <v>2191</v>
      </c>
      <c r="B3" t="s">
        <v>14</v>
      </c>
      <c r="C3" t="s">
        <v>2199</v>
      </c>
      <c r="D3" t="s">
        <v>2200</v>
      </c>
      <c r="E3" t="s">
        <v>2201</v>
      </c>
      <c r="F3" t="s">
        <v>2202</v>
      </c>
      <c r="G3" t="s">
        <v>2203</v>
      </c>
      <c r="H3" t="s">
        <v>17</v>
      </c>
      <c r="I3" t="s">
        <v>2203</v>
      </c>
      <c r="J3" t="s">
        <v>17</v>
      </c>
      <c r="K3" t="s">
        <v>870</v>
      </c>
      <c r="L3" t="s">
        <v>2197</v>
      </c>
      <c r="M3" t="s">
        <v>2198</v>
      </c>
      <c r="N3" t="s">
        <v>392</v>
      </c>
    </row>
    <row r="4" spans="1:14" ht="11.25" customHeight="1">
      <c r="A4" t="s">
        <v>2191</v>
      </c>
      <c r="B4" t="s">
        <v>14</v>
      </c>
      <c r="C4" t="s">
        <v>2204</v>
      </c>
      <c r="D4" t="s">
        <v>2205</v>
      </c>
      <c r="E4" t="s">
        <v>2206</v>
      </c>
      <c r="F4" t="s">
        <v>2207</v>
      </c>
      <c r="G4" t="s">
        <v>17</v>
      </c>
      <c r="H4" t="s">
        <v>17</v>
      </c>
      <c r="I4" t="s">
        <v>2196</v>
      </c>
      <c r="J4" t="s">
        <v>17</v>
      </c>
      <c r="K4" t="s">
        <v>870</v>
      </c>
      <c r="L4" t="s">
        <v>2197</v>
      </c>
      <c r="M4" t="s">
        <v>2198</v>
      </c>
      <c r="N4" t="s">
        <v>392</v>
      </c>
    </row>
    <row r="5" spans="1:14" ht="11.25" customHeight="1">
      <c r="A5" t="s">
        <v>2191</v>
      </c>
      <c r="B5" t="s">
        <v>14</v>
      </c>
      <c r="C5" t="s">
        <v>2208</v>
      </c>
      <c r="D5" t="s">
        <v>2209</v>
      </c>
      <c r="E5" t="s">
        <v>2210</v>
      </c>
      <c r="F5" t="s">
        <v>2211</v>
      </c>
      <c r="G5" t="s">
        <v>17</v>
      </c>
      <c r="H5" t="s">
        <v>2212</v>
      </c>
      <c r="I5" t="s">
        <v>2213</v>
      </c>
      <c r="J5" t="s">
        <v>2212</v>
      </c>
      <c r="K5" t="s">
        <v>870</v>
      </c>
      <c r="L5" t="s">
        <v>2197</v>
      </c>
      <c r="M5" t="s">
        <v>2198</v>
      </c>
      <c r="N5" t="s">
        <v>392</v>
      </c>
    </row>
    <row r="6" spans="1:14" ht="11.25" customHeight="1">
      <c r="A6" t="s">
        <v>2191</v>
      </c>
      <c r="B6" t="s">
        <v>14</v>
      </c>
      <c r="C6" t="s">
        <v>2214</v>
      </c>
      <c r="D6" t="s">
        <v>2215</v>
      </c>
      <c r="E6" t="s">
        <v>2216</v>
      </c>
      <c r="F6" t="s">
        <v>2217</v>
      </c>
      <c r="G6" t="s">
        <v>17</v>
      </c>
      <c r="H6" t="s">
        <v>17</v>
      </c>
      <c r="I6" t="s">
        <v>2196</v>
      </c>
      <c r="J6" t="s">
        <v>17</v>
      </c>
      <c r="K6" t="s">
        <v>930</v>
      </c>
      <c r="L6" t="s">
        <v>2218</v>
      </c>
      <c r="M6" t="s">
        <v>2219</v>
      </c>
      <c r="N6" t="s">
        <v>392</v>
      </c>
    </row>
    <row r="7" spans="1:14" ht="11.25" customHeight="1">
      <c r="A7" t="s">
        <v>2191</v>
      </c>
      <c r="B7" t="s">
        <v>14</v>
      </c>
      <c r="C7" t="s">
        <v>2214</v>
      </c>
      <c r="D7" t="s">
        <v>2215</v>
      </c>
      <c r="E7" t="s">
        <v>2216</v>
      </c>
      <c r="F7" t="s">
        <v>2217</v>
      </c>
      <c r="G7" t="s">
        <v>17</v>
      </c>
      <c r="H7" t="s">
        <v>17</v>
      </c>
      <c r="I7" t="s">
        <v>2213</v>
      </c>
      <c r="J7" t="s">
        <v>17</v>
      </c>
      <c r="K7" t="s">
        <v>775</v>
      </c>
      <c r="L7" t="s">
        <v>2220</v>
      </c>
      <c r="M7" t="s">
        <v>2221</v>
      </c>
      <c r="N7" t="s">
        <v>392</v>
      </c>
    </row>
    <row r="8" spans="1:14" ht="11.25" customHeight="1">
      <c r="A8" t="s">
        <v>2191</v>
      </c>
      <c r="B8" t="s">
        <v>14</v>
      </c>
      <c r="C8" t="s">
        <v>2222</v>
      </c>
      <c r="D8" t="s">
        <v>2223</v>
      </c>
      <c r="E8" t="s">
        <v>2224</v>
      </c>
      <c r="F8" t="s">
        <v>2211</v>
      </c>
      <c r="G8" t="s">
        <v>17</v>
      </c>
      <c r="H8" t="s">
        <v>17</v>
      </c>
      <c r="I8" t="s">
        <v>2196</v>
      </c>
      <c r="J8" t="s">
        <v>17</v>
      </c>
      <c r="K8" t="s">
        <v>870</v>
      </c>
      <c r="L8" t="s">
        <v>2197</v>
      </c>
      <c r="M8" t="s">
        <v>2198</v>
      </c>
      <c r="N8" t="s">
        <v>392</v>
      </c>
    </row>
    <row r="9" spans="1:14" ht="11.25" customHeight="1">
      <c r="A9" t="s">
        <v>2191</v>
      </c>
      <c r="B9" t="s">
        <v>14</v>
      </c>
      <c r="C9" t="s">
        <v>2225</v>
      </c>
      <c r="D9" t="s">
        <v>2226</v>
      </c>
      <c r="E9" t="s">
        <v>2227</v>
      </c>
      <c r="F9" t="s">
        <v>2217</v>
      </c>
      <c r="G9" t="s">
        <v>17</v>
      </c>
      <c r="H9" t="s">
        <v>17</v>
      </c>
      <c r="I9" t="s">
        <v>2228</v>
      </c>
      <c r="J9" t="s">
        <v>17</v>
      </c>
      <c r="K9" t="s">
        <v>914</v>
      </c>
      <c r="L9" t="s">
        <v>2229</v>
      </c>
      <c r="M9" t="s">
        <v>2230</v>
      </c>
      <c r="N9" t="s">
        <v>392</v>
      </c>
    </row>
    <row r="10" spans="1:14" ht="11.25" customHeight="1">
      <c r="A10" t="s">
        <v>2191</v>
      </c>
      <c r="B10" t="s">
        <v>14</v>
      </c>
      <c r="C10" t="s">
        <v>2231</v>
      </c>
      <c r="D10" t="s">
        <v>2232</v>
      </c>
      <c r="E10" t="s">
        <v>2233</v>
      </c>
      <c r="F10" t="s">
        <v>2234</v>
      </c>
      <c r="G10" t="s">
        <v>17</v>
      </c>
      <c r="H10" t="s">
        <v>17</v>
      </c>
      <c r="I10" t="s">
        <v>2235</v>
      </c>
      <c r="J10" t="s">
        <v>17</v>
      </c>
      <c r="K10" t="s">
        <v>775</v>
      </c>
      <c r="L10" t="s">
        <v>2236</v>
      </c>
      <c r="M10" t="s">
        <v>2237</v>
      </c>
      <c r="N10" t="s">
        <v>392</v>
      </c>
    </row>
    <row r="11" spans="1:14" ht="11.25" customHeight="1">
      <c r="A11" t="s">
        <v>2191</v>
      </c>
      <c r="B11" t="s">
        <v>14</v>
      </c>
      <c r="C11" t="s">
        <v>2231</v>
      </c>
      <c r="D11" t="s">
        <v>2232</v>
      </c>
      <c r="E11" t="s">
        <v>2233</v>
      </c>
      <c r="F11" t="s">
        <v>2234</v>
      </c>
      <c r="G11" t="s">
        <v>17</v>
      </c>
      <c r="H11" t="s">
        <v>17</v>
      </c>
      <c r="I11" t="s">
        <v>2235</v>
      </c>
      <c r="J11" t="s">
        <v>17</v>
      </c>
      <c r="K11" t="s">
        <v>870</v>
      </c>
      <c r="L11" t="s">
        <v>2236</v>
      </c>
      <c r="M11" t="s">
        <v>2237</v>
      </c>
      <c r="N11" t="s">
        <v>392</v>
      </c>
    </row>
    <row r="12" spans="1:14" ht="11.25" customHeight="1">
      <c r="A12" t="s">
        <v>2191</v>
      </c>
      <c r="B12" t="s">
        <v>14</v>
      </c>
      <c r="C12" t="s">
        <v>2231</v>
      </c>
      <c r="D12" t="s">
        <v>2232</v>
      </c>
      <c r="E12" t="s">
        <v>2233</v>
      </c>
      <c r="F12" t="s">
        <v>2234</v>
      </c>
      <c r="G12" t="s">
        <v>17</v>
      </c>
      <c r="H12" t="s">
        <v>17</v>
      </c>
      <c r="I12" t="s">
        <v>2235</v>
      </c>
      <c r="J12" t="s">
        <v>17</v>
      </c>
      <c r="K12" t="s">
        <v>838</v>
      </c>
      <c r="L12" t="s">
        <v>2236</v>
      </c>
      <c r="M12" t="s">
        <v>2237</v>
      </c>
      <c r="N12" t="s">
        <v>392</v>
      </c>
    </row>
    <row r="13" spans="1:14" ht="11.25" customHeight="1">
      <c r="A13" t="s">
        <v>2191</v>
      </c>
      <c r="B13" t="s">
        <v>14</v>
      </c>
      <c r="C13" t="s">
        <v>2231</v>
      </c>
      <c r="D13" t="s">
        <v>2232</v>
      </c>
      <c r="E13" t="s">
        <v>2233</v>
      </c>
      <c r="F13" t="s">
        <v>2234</v>
      </c>
      <c r="G13" t="s">
        <v>17</v>
      </c>
      <c r="H13" t="s">
        <v>17</v>
      </c>
      <c r="I13" t="s">
        <v>2235</v>
      </c>
      <c r="J13" t="s">
        <v>17</v>
      </c>
      <c r="K13" t="s">
        <v>2238</v>
      </c>
      <c r="L13" t="s">
        <v>2239</v>
      </c>
      <c r="M13" t="s">
        <v>2240</v>
      </c>
      <c r="N13" t="s">
        <v>392</v>
      </c>
    </row>
    <row r="14" spans="1:14" ht="11.25" customHeight="1">
      <c r="A14" t="s">
        <v>2191</v>
      </c>
      <c r="B14" t="s">
        <v>14</v>
      </c>
      <c r="C14" t="s">
        <v>2241</v>
      </c>
      <c r="D14" t="s">
        <v>2242</v>
      </c>
      <c r="E14" t="s">
        <v>2243</v>
      </c>
      <c r="F14" t="s">
        <v>2244</v>
      </c>
      <c r="G14" t="s">
        <v>17</v>
      </c>
      <c r="H14" t="s">
        <v>17</v>
      </c>
      <c r="I14" t="s">
        <v>2235</v>
      </c>
      <c r="J14" t="s">
        <v>17</v>
      </c>
      <c r="K14" t="s">
        <v>870</v>
      </c>
      <c r="L14" t="s">
        <v>2197</v>
      </c>
      <c r="M14" t="s">
        <v>2198</v>
      </c>
      <c r="N14" t="s">
        <v>392</v>
      </c>
    </row>
    <row r="15" spans="1:14" ht="11.25" customHeight="1">
      <c r="A15" t="s">
        <v>2191</v>
      </c>
      <c r="B15" t="s">
        <v>14</v>
      </c>
      <c r="C15" t="s">
        <v>2245</v>
      </c>
      <c r="D15" t="s">
        <v>2246</v>
      </c>
      <c r="E15" t="s">
        <v>2247</v>
      </c>
      <c r="F15" t="s">
        <v>2248</v>
      </c>
      <c r="G15" t="s">
        <v>17</v>
      </c>
      <c r="H15" t="s">
        <v>17</v>
      </c>
      <c r="I15" t="s">
        <v>2249</v>
      </c>
      <c r="J15" t="s">
        <v>17</v>
      </c>
      <c r="K15" t="s">
        <v>870</v>
      </c>
      <c r="L15" t="s">
        <v>2197</v>
      </c>
      <c r="M15" t="s">
        <v>2198</v>
      </c>
      <c r="N15" t="s">
        <v>392</v>
      </c>
    </row>
    <row r="16" spans="1:14" ht="11.25" customHeight="1">
      <c r="A16" t="s">
        <v>2191</v>
      </c>
      <c r="B16" t="s">
        <v>14</v>
      </c>
      <c r="C16" t="s">
        <v>2250</v>
      </c>
      <c r="D16" t="s">
        <v>2251</v>
      </c>
      <c r="E16" t="s">
        <v>2252</v>
      </c>
      <c r="F16" t="s">
        <v>2253</v>
      </c>
      <c r="G16" t="s">
        <v>17</v>
      </c>
      <c r="H16" t="s">
        <v>17</v>
      </c>
      <c r="I16" t="s">
        <v>2196</v>
      </c>
      <c r="J16" t="s">
        <v>17</v>
      </c>
      <c r="K16" t="s">
        <v>870</v>
      </c>
      <c r="L16" t="s">
        <v>2197</v>
      </c>
      <c r="M16" t="s">
        <v>2198</v>
      </c>
      <c r="N16" t="s">
        <v>392</v>
      </c>
    </row>
    <row r="17" spans="1:14" ht="11.25" customHeight="1">
      <c r="A17" t="s">
        <v>2191</v>
      </c>
      <c r="B17" t="s">
        <v>14</v>
      </c>
      <c r="C17" t="s">
        <v>2254</v>
      </c>
      <c r="D17" t="s">
        <v>2255</v>
      </c>
      <c r="E17" t="s">
        <v>2256</v>
      </c>
      <c r="F17" t="s">
        <v>2257</v>
      </c>
      <c r="G17" t="s">
        <v>17</v>
      </c>
      <c r="H17" t="s">
        <v>17</v>
      </c>
      <c r="I17" t="s">
        <v>2258</v>
      </c>
      <c r="J17" t="s">
        <v>17</v>
      </c>
      <c r="K17" t="s">
        <v>870</v>
      </c>
      <c r="L17" t="s">
        <v>2197</v>
      </c>
      <c r="M17" t="s">
        <v>2198</v>
      </c>
      <c r="N17" t="s">
        <v>392</v>
      </c>
    </row>
    <row r="18" spans="1:14" ht="11.25" customHeight="1">
      <c r="A18" t="s">
        <v>2191</v>
      </c>
      <c r="B18" t="s">
        <v>14</v>
      </c>
      <c r="C18" t="s">
        <v>2259</v>
      </c>
      <c r="D18" t="s">
        <v>2260</v>
      </c>
      <c r="E18" t="s">
        <v>2261</v>
      </c>
      <c r="F18" t="s">
        <v>2262</v>
      </c>
      <c r="G18" t="s">
        <v>17</v>
      </c>
      <c r="H18" t="s">
        <v>17</v>
      </c>
      <c r="I18" t="s">
        <v>2263</v>
      </c>
      <c r="J18" t="s">
        <v>17</v>
      </c>
      <c r="K18" t="s">
        <v>870</v>
      </c>
      <c r="L18" t="s">
        <v>2197</v>
      </c>
      <c r="M18" t="s">
        <v>2198</v>
      </c>
      <c r="N18" t="s">
        <v>392</v>
      </c>
    </row>
    <row r="19" spans="1:14" ht="11.25" customHeight="1">
      <c r="A19" t="s">
        <v>2191</v>
      </c>
      <c r="B19" t="s">
        <v>14</v>
      </c>
      <c r="C19" t="s">
        <v>2264</v>
      </c>
      <c r="D19" t="s">
        <v>2265</v>
      </c>
      <c r="E19" t="s">
        <v>2266</v>
      </c>
      <c r="F19" t="s">
        <v>2195</v>
      </c>
      <c r="G19" t="s">
        <v>2267</v>
      </c>
      <c r="H19" t="s">
        <v>17</v>
      </c>
      <c r="I19" t="s">
        <v>2267</v>
      </c>
      <c r="J19" t="s">
        <v>17</v>
      </c>
      <c r="K19" t="s">
        <v>870</v>
      </c>
      <c r="L19" t="s">
        <v>2197</v>
      </c>
      <c r="M19" t="s">
        <v>2198</v>
      </c>
      <c r="N19" t="s">
        <v>392</v>
      </c>
    </row>
    <row r="20" spans="1:14" ht="11.25" customHeight="1">
      <c r="A20" t="s">
        <v>2191</v>
      </c>
      <c r="B20" t="s">
        <v>14</v>
      </c>
      <c r="C20" t="s">
        <v>2268</v>
      </c>
      <c r="D20" t="s">
        <v>2269</v>
      </c>
      <c r="E20" t="s">
        <v>2270</v>
      </c>
      <c r="F20" t="s">
        <v>2207</v>
      </c>
      <c r="G20" t="s">
        <v>2271</v>
      </c>
      <c r="H20" t="s">
        <v>17</v>
      </c>
      <c r="I20" t="s">
        <v>2271</v>
      </c>
      <c r="J20" t="s">
        <v>17</v>
      </c>
      <c r="K20" t="s">
        <v>895</v>
      </c>
      <c r="L20" t="s">
        <v>2272</v>
      </c>
      <c r="M20" t="s">
        <v>2273</v>
      </c>
      <c r="N20" t="s">
        <v>392</v>
      </c>
    </row>
    <row r="21" spans="1:14" ht="11.25" customHeight="1">
      <c r="A21" t="s">
        <v>2191</v>
      </c>
      <c r="B21" t="s">
        <v>14</v>
      </c>
      <c r="C21" t="s">
        <v>2274</v>
      </c>
      <c r="D21" t="s">
        <v>2275</v>
      </c>
      <c r="E21" t="s">
        <v>2276</v>
      </c>
      <c r="F21" t="s">
        <v>2195</v>
      </c>
      <c r="G21" t="s">
        <v>17</v>
      </c>
      <c r="H21" t="s">
        <v>17</v>
      </c>
      <c r="I21" t="s">
        <v>2196</v>
      </c>
      <c r="J21" t="s">
        <v>17</v>
      </c>
      <c r="K21" t="s">
        <v>870</v>
      </c>
      <c r="L21" t="s">
        <v>2197</v>
      </c>
      <c r="M21" t="s">
        <v>2198</v>
      </c>
      <c r="N21" t="s">
        <v>392</v>
      </c>
    </row>
    <row r="22" spans="1:14" ht="11.25" customHeight="1">
      <c r="A22" t="s">
        <v>2191</v>
      </c>
      <c r="B22" t="s">
        <v>14</v>
      </c>
      <c r="C22" t="s">
        <v>2277</v>
      </c>
      <c r="D22" t="s">
        <v>2278</v>
      </c>
      <c r="E22" t="s">
        <v>2279</v>
      </c>
      <c r="F22" t="s">
        <v>2280</v>
      </c>
      <c r="G22" t="s">
        <v>17</v>
      </c>
      <c r="H22" t="s">
        <v>17</v>
      </c>
      <c r="I22" t="s">
        <v>2196</v>
      </c>
      <c r="J22" t="s">
        <v>17</v>
      </c>
      <c r="K22" t="s">
        <v>870</v>
      </c>
      <c r="L22" t="s">
        <v>2197</v>
      </c>
      <c r="M22" t="s">
        <v>2198</v>
      </c>
      <c r="N22" t="s">
        <v>392</v>
      </c>
    </row>
    <row r="23" spans="1:14" ht="11.25" customHeight="1">
      <c r="A23" t="s">
        <v>2191</v>
      </c>
      <c r="B23" t="s">
        <v>14</v>
      </c>
      <c r="C23" t="s">
        <v>2281</v>
      </c>
      <c r="D23" t="s">
        <v>2282</v>
      </c>
      <c r="E23" t="s">
        <v>2283</v>
      </c>
      <c r="F23" t="s">
        <v>2253</v>
      </c>
      <c r="G23" t="s">
        <v>17</v>
      </c>
      <c r="H23" t="s">
        <v>17</v>
      </c>
      <c r="I23" t="s">
        <v>2196</v>
      </c>
      <c r="J23" t="s">
        <v>17</v>
      </c>
      <c r="K23" t="s">
        <v>870</v>
      </c>
      <c r="L23" t="s">
        <v>2197</v>
      </c>
      <c r="M23" t="s">
        <v>2198</v>
      </c>
      <c r="N23" t="s">
        <v>392</v>
      </c>
    </row>
    <row r="24" spans="1:14" ht="11.25" customHeight="1">
      <c r="A24" t="s">
        <v>2191</v>
      </c>
      <c r="B24" t="s">
        <v>14</v>
      </c>
      <c r="C24" t="s">
        <v>2284</v>
      </c>
      <c r="D24" t="s">
        <v>2285</v>
      </c>
      <c r="E24" t="s">
        <v>2286</v>
      </c>
      <c r="F24" t="s">
        <v>2195</v>
      </c>
      <c r="G24" t="s">
        <v>17</v>
      </c>
      <c r="H24" t="s">
        <v>17</v>
      </c>
      <c r="I24" t="s">
        <v>2287</v>
      </c>
      <c r="J24" t="s">
        <v>17</v>
      </c>
      <c r="K24" t="s">
        <v>870</v>
      </c>
      <c r="L24" t="s">
        <v>2197</v>
      </c>
      <c r="M24" t="s">
        <v>2198</v>
      </c>
      <c r="N24" t="s">
        <v>392</v>
      </c>
    </row>
    <row r="25" spans="1:14" ht="11.25" customHeight="1">
      <c r="A25" t="s">
        <v>2191</v>
      </c>
      <c r="B25" t="s">
        <v>14</v>
      </c>
      <c r="C25" t="s">
        <v>2288</v>
      </c>
      <c r="D25" t="s">
        <v>2289</v>
      </c>
      <c r="E25" t="s">
        <v>2290</v>
      </c>
      <c r="F25" t="s">
        <v>2291</v>
      </c>
      <c r="G25" t="s">
        <v>17</v>
      </c>
      <c r="H25" t="s">
        <v>17</v>
      </c>
      <c r="I25" t="s">
        <v>2292</v>
      </c>
      <c r="J25" t="s">
        <v>17</v>
      </c>
      <c r="K25" t="s">
        <v>914</v>
      </c>
      <c r="L25" t="s">
        <v>2229</v>
      </c>
      <c r="M25" t="s">
        <v>2230</v>
      </c>
      <c r="N25" t="s">
        <v>392</v>
      </c>
    </row>
    <row r="26" spans="1:14" ht="11.25" customHeight="1">
      <c r="A26" t="s">
        <v>2191</v>
      </c>
      <c r="B26" t="s">
        <v>14</v>
      </c>
      <c r="C26" t="s">
        <v>2293</v>
      </c>
      <c r="D26" t="s">
        <v>2294</v>
      </c>
      <c r="E26" t="s">
        <v>2295</v>
      </c>
      <c r="F26" t="s">
        <v>2296</v>
      </c>
      <c r="G26" t="s">
        <v>17</v>
      </c>
      <c r="H26" t="s">
        <v>17</v>
      </c>
      <c r="I26" t="s">
        <v>2297</v>
      </c>
      <c r="J26" t="s">
        <v>17</v>
      </c>
      <c r="K26" t="s">
        <v>870</v>
      </c>
      <c r="L26" t="s">
        <v>2197</v>
      </c>
      <c r="M26" t="s">
        <v>2198</v>
      </c>
      <c r="N26" t="s">
        <v>392</v>
      </c>
    </row>
    <row r="27" spans="1:14" ht="11.25" customHeight="1">
      <c r="A27" t="s">
        <v>2191</v>
      </c>
      <c r="B27" t="s">
        <v>14</v>
      </c>
      <c r="C27" t="s">
        <v>2298</v>
      </c>
      <c r="D27" t="s">
        <v>2299</v>
      </c>
      <c r="E27" t="s">
        <v>2300</v>
      </c>
      <c r="F27" t="s">
        <v>2195</v>
      </c>
      <c r="G27" t="s">
        <v>17</v>
      </c>
      <c r="H27" t="s">
        <v>17</v>
      </c>
      <c r="I27" t="s">
        <v>2196</v>
      </c>
      <c r="J27" t="s">
        <v>17</v>
      </c>
      <c r="K27" t="s">
        <v>870</v>
      </c>
      <c r="L27" t="s">
        <v>2197</v>
      </c>
      <c r="M27" t="s">
        <v>2198</v>
      </c>
      <c r="N27" t="s">
        <v>392</v>
      </c>
    </row>
    <row r="28" spans="1:14" ht="11.25" customHeight="1">
      <c r="A28" t="s">
        <v>2191</v>
      </c>
      <c r="B28" t="s">
        <v>14</v>
      </c>
      <c r="C28" t="s">
        <v>2301</v>
      </c>
      <c r="D28" t="s">
        <v>2302</v>
      </c>
      <c r="E28" t="s">
        <v>2303</v>
      </c>
      <c r="F28" t="s">
        <v>51</v>
      </c>
      <c r="G28" t="s">
        <v>2304</v>
      </c>
      <c r="H28" t="s">
        <v>17</v>
      </c>
      <c r="I28" t="s">
        <v>2304</v>
      </c>
      <c r="J28" t="s">
        <v>17</v>
      </c>
      <c r="K28" t="s">
        <v>870</v>
      </c>
      <c r="L28" t="s">
        <v>2197</v>
      </c>
      <c r="M28" t="s">
        <v>2198</v>
      </c>
      <c r="N28" t="s">
        <v>392</v>
      </c>
    </row>
    <row r="29" spans="1:14" ht="11.25" customHeight="1">
      <c r="A29" t="s">
        <v>2191</v>
      </c>
      <c r="B29" t="s">
        <v>14</v>
      </c>
      <c r="C29" t="s">
        <v>2305</v>
      </c>
      <c r="D29" t="s">
        <v>2306</v>
      </c>
      <c r="E29" t="s">
        <v>2307</v>
      </c>
      <c r="F29" t="s">
        <v>2308</v>
      </c>
      <c r="G29" t="s">
        <v>17</v>
      </c>
      <c r="H29" t="s">
        <v>17</v>
      </c>
      <c r="I29" t="s">
        <v>2235</v>
      </c>
      <c r="J29" t="s">
        <v>17</v>
      </c>
      <c r="K29" t="s">
        <v>802</v>
      </c>
      <c r="L29" t="s">
        <v>2309</v>
      </c>
      <c r="M29" t="s">
        <v>2310</v>
      </c>
      <c r="N29" t="s">
        <v>392</v>
      </c>
    </row>
    <row r="30" spans="1:14" ht="11.25" customHeight="1">
      <c r="A30" t="s">
        <v>2191</v>
      </c>
      <c r="B30" t="s">
        <v>14</v>
      </c>
      <c r="C30" t="s">
        <v>2305</v>
      </c>
      <c r="D30" t="s">
        <v>2306</v>
      </c>
      <c r="E30" t="s">
        <v>2307</v>
      </c>
      <c r="F30" t="s">
        <v>2308</v>
      </c>
      <c r="G30" t="s">
        <v>17</v>
      </c>
      <c r="H30" t="s">
        <v>17</v>
      </c>
      <c r="I30" t="s">
        <v>2235</v>
      </c>
      <c r="J30" t="s">
        <v>17</v>
      </c>
      <c r="K30" t="s">
        <v>895</v>
      </c>
      <c r="L30" t="s">
        <v>2309</v>
      </c>
      <c r="M30" t="s">
        <v>2310</v>
      </c>
      <c r="N30" t="s">
        <v>392</v>
      </c>
    </row>
    <row r="31" spans="1:14" ht="11.25" customHeight="1">
      <c r="A31" t="s">
        <v>2191</v>
      </c>
      <c r="B31" t="s">
        <v>14</v>
      </c>
      <c r="C31" t="s">
        <v>2305</v>
      </c>
      <c r="D31" t="s">
        <v>2306</v>
      </c>
      <c r="E31" t="s">
        <v>2307</v>
      </c>
      <c r="F31" t="s">
        <v>2308</v>
      </c>
      <c r="G31" t="s">
        <v>17</v>
      </c>
      <c r="H31" t="s">
        <v>17</v>
      </c>
      <c r="I31" t="s">
        <v>2235</v>
      </c>
      <c r="J31" t="s">
        <v>17</v>
      </c>
      <c r="K31" t="s">
        <v>838</v>
      </c>
      <c r="L31" t="s">
        <v>2309</v>
      </c>
      <c r="M31" t="s">
        <v>2310</v>
      </c>
      <c r="N31" t="s">
        <v>392</v>
      </c>
    </row>
    <row r="32" spans="1:14" ht="11.25" customHeight="1">
      <c r="A32" t="s">
        <v>2191</v>
      </c>
      <c r="B32" t="s">
        <v>14</v>
      </c>
      <c r="C32" t="s">
        <v>2311</v>
      </c>
      <c r="D32" t="s">
        <v>2312</v>
      </c>
      <c r="E32" t="s">
        <v>2307</v>
      </c>
      <c r="F32" t="s">
        <v>2313</v>
      </c>
      <c r="G32" t="s">
        <v>17</v>
      </c>
      <c r="H32" t="s">
        <v>17</v>
      </c>
      <c r="I32" t="s">
        <v>2314</v>
      </c>
      <c r="J32" t="s">
        <v>17</v>
      </c>
      <c r="K32" t="s">
        <v>870</v>
      </c>
      <c r="L32" t="s">
        <v>2197</v>
      </c>
      <c r="M32" t="s">
        <v>2198</v>
      </c>
      <c r="N32" t="s">
        <v>392</v>
      </c>
    </row>
    <row r="33" spans="1:14" ht="11.25" customHeight="1">
      <c r="A33" t="s">
        <v>2191</v>
      </c>
      <c r="B33" t="s">
        <v>14</v>
      </c>
      <c r="C33" t="s">
        <v>2311</v>
      </c>
      <c r="D33" t="s">
        <v>2312</v>
      </c>
      <c r="E33" t="s">
        <v>2307</v>
      </c>
      <c r="F33" t="s">
        <v>2313</v>
      </c>
      <c r="G33" t="s">
        <v>17</v>
      </c>
      <c r="H33" t="s">
        <v>17</v>
      </c>
      <c r="I33" t="s">
        <v>2315</v>
      </c>
      <c r="J33" t="s">
        <v>17</v>
      </c>
      <c r="K33" t="s">
        <v>870</v>
      </c>
      <c r="L33" t="s">
        <v>2197</v>
      </c>
      <c r="M33" t="s">
        <v>2198</v>
      </c>
      <c r="N33" t="s">
        <v>392</v>
      </c>
    </row>
    <row r="34" spans="1:14" ht="11.25" customHeight="1">
      <c r="A34" t="s">
        <v>2191</v>
      </c>
      <c r="B34" t="s">
        <v>14</v>
      </c>
      <c r="C34" t="s">
        <v>2311</v>
      </c>
      <c r="D34" t="s">
        <v>2312</v>
      </c>
      <c r="E34" t="s">
        <v>2307</v>
      </c>
      <c r="F34" t="s">
        <v>2313</v>
      </c>
      <c r="G34" t="s">
        <v>17</v>
      </c>
      <c r="H34" t="s">
        <v>17</v>
      </c>
      <c r="I34" t="s">
        <v>2235</v>
      </c>
      <c r="J34" t="s">
        <v>17</v>
      </c>
      <c r="K34" t="s">
        <v>870</v>
      </c>
      <c r="L34" t="s">
        <v>2197</v>
      </c>
      <c r="M34" t="s">
        <v>2198</v>
      </c>
      <c r="N34" t="s">
        <v>392</v>
      </c>
    </row>
    <row r="35" spans="1:14" ht="11.25" customHeight="1">
      <c r="A35" t="s">
        <v>2191</v>
      </c>
      <c r="B35" t="s">
        <v>14</v>
      </c>
      <c r="C35" t="s">
        <v>2316</v>
      </c>
      <c r="D35" t="s">
        <v>2317</v>
      </c>
      <c r="E35" t="s">
        <v>2307</v>
      </c>
      <c r="F35" t="s">
        <v>2318</v>
      </c>
      <c r="G35" t="s">
        <v>17</v>
      </c>
      <c r="H35" t="s">
        <v>17</v>
      </c>
      <c r="I35" t="s">
        <v>2319</v>
      </c>
      <c r="J35" t="s">
        <v>17</v>
      </c>
      <c r="K35" t="s">
        <v>870</v>
      </c>
      <c r="L35" t="s">
        <v>2197</v>
      </c>
      <c r="M35" t="s">
        <v>2198</v>
      </c>
      <c r="N35" t="s">
        <v>392</v>
      </c>
    </row>
    <row r="36" spans="1:14" ht="11.25" customHeight="1">
      <c r="A36" t="s">
        <v>2191</v>
      </c>
      <c r="B36" t="s">
        <v>14</v>
      </c>
      <c r="C36" t="s">
        <v>2320</v>
      </c>
      <c r="D36" t="s">
        <v>2321</v>
      </c>
      <c r="E36" t="s">
        <v>2307</v>
      </c>
      <c r="F36" t="s">
        <v>2322</v>
      </c>
      <c r="G36" t="s">
        <v>17</v>
      </c>
      <c r="H36" t="s">
        <v>17</v>
      </c>
      <c r="I36" t="s">
        <v>2319</v>
      </c>
      <c r="J36" t="s">
        <v>17</v>
      </c>
      <c r="K36" t="s">
        <v>870</v>
      </c>
      <c r="L36" t="s">
        <v>2197</v>
      </c>
      <c r="M36" t="s">
        <v>2198</v>
      </c>
      <c r="N36" t="s">
        <v>392</v>
      </c>
    </row>
    <row r="37" spans="1:14" ht="11.25" customHeight="1">
      <c r="A37" t="s">
        <v>2191</v>
      </c>
      <c r="B37" t="s">
        <v>14</v>
      </c>
      <c r="C37" t="s">
        <v>2323</v>
      </c>
      <c r="D37" t="s">
        <v>2324</v>
      </c>
      <c r="E37" t="s">
        <v>2307</v>
      </c>
      <c r="F37" t="s">
        <v>2325</v>
      </c>
      <c r="G37" t="s">
        <v>17</v>
      </c>
      <c r="H37" t="s">
        <v>17</v>
      </c>
      <c r="I37" t="s">
        <v>2326</v>
      </c>
      <c r="J37" t="s">
        <v>17</v>
      </c>
      <c r="K37" t="s">
        <v>870</v>
      </c>
      <c r="L37" t="s">
        <v>2197</v>
      </c>
      <c r="M37" t="s">
        <v>2198</v>
      </c>
      <c r="N37" t="s">
        <v>392</v>
      </c>
    </row>
    <row r="38" spans="1:14" ht="11.25" customHeight="1">
      <c r="A38" t="s">
        <v>2191</v>
      </c>
      <c r="B38" t="s">
        <v>14</v>
      </c>
      <c r="C38" t="s">
        <v>2327</v>
      </c>
      <c r="D38" t="s">
        <v>2328</v>
      </c>
      <c r="E38" t="s">
        <v>2307</v>
      </c>
      <c r="F38" t="s">
        <v>2329</v>
      </c>
      <c r="G38" t="s">
        <v>17</v>
      </c>
      <c r="H38" t="s">
        <v>17</v>
      </c>
      <c r="I38" t="s">
        <v>2319</v>
      </c>
      <c r="J38" t="s">
        <v>17</v>
      </c>
      <c r="K38" t="s">
        <v>914</v>
      </c>
      <c r="L38" t="s">
        <v>2229</v>
      </c>
      <c r="M38" t="s">
        <v>2230</v>
      </c>
      <c r="N38" t="s">
        <v>392</v>
      </c>
    </row>
    <row r="39" spans="1:14" ht="11.25" customHeight="1">
      <c r="A39" t="s">
        <v>2191</v>
      </c>
      <c r="B39" t="s">
        <v>14</v>
      </c>
      <c r="C39" t="s">
        <v>2330</v>
      </c>
      <c r="D39" t="s">
        <v>2331</v>
      </c>
      <c r="E39" t="s">
        <v>2307</v>
      </c>
      <c r="F39" t="s">
        <v>2332</v>
      </c>
      <c r="G39" t="s">
        <v>17</v>
      </c>
      <c r="H39" t="s">
        <v>17</v>
      </c>
      <c r="I39" t="s">
        <v>2333</v>
      </c>
      <c r="J39" t="s">
        <v>17</v>
      </c>
      <c r="K39" t="s">
        <v>870</v>
      </c>
      <c r="L39" t="s">
        <v>2197</v>
      </c>
      <c r="M39" t="s">
        <v>2198</v>
      </c>
      <c r="N39" t="s">
        <v>392</v>
      </c>
    </row>
    <row r="40" spans="1:14" ht="11.25" customHeight="1">
      <c r="A40" t="s">
        <v>2191</v>
      </c>
      <c r="B40" t="s">
        <v>14</v>
      </c>
      <c r="C40" t="s">
        <v>2334</v>
      </c>
      <c r="D40" t="s">
        <v>2335</v>
      </c>
      <c r="E40" t="s">
        <v>2336</v>
      </c>
      <c r="F40" t="s">
        <v>2195</v>
      </c>
      <c r="G40" t="s">
        <v>17</v>
      </c>
      <c r="H40" t="s">
        <v>17</v>
      </c>
      <c r="I40" t="s">
        <v>2196</v>
      </c>
      <c r="J40" t="s">
        <v>17</v>
      </c>
      <c r="K40" t="s">
        <v>870</v>
      </c>
      <c r="L40" t="s">
        <v>2197</v>
      </c>
      <c r="M40" t="s">
        <v>2198</v>
      </c>
      <c r="N40" t="s">
        <v>392</v>
      </c>
    </row>
    <row r="41" spans="1:14" ht="11.25" customHeight="1">
      <c r="A41" t="s">
        <v>2191</v>
      </c>
      <c r="B41" t="s">
        <v>14</v>
      </c>
      <c r="C41" t="s">
        <v>2337</v>
      </c>
      <c r="D41" t="s">
        <v>2338</v>
      </c>
      <c r="E41" t="s">
        <v>2339</v>
      </c>
      <c r="F41" t="s">
        <v>2340</v>
      </c>
      <c r="G41" t="s">
        <v>17</v>
      </c>
      <c r="H41" t="s">
        <v>17</v>
      </c>
      <c r="I41" t="s">
        <v>2196</v>
      </c>
      <c r="J41" t="s">
        <v>2341</v>
      </c>
      <c r="K41" t="s">
        <v>870</v>
      </c>
      <c r="L41" t="s">
        <v>2197</v>
      </c>
      <c r="M41" t="s">
        <v>2198</v>
      </c>
      <c r="N41" t="s">
        <v>392</v>
      </c>
    </row>
    <row r="42" spans="1:14" ht="11.25" customHeight="1">
      <c r="A42" t="s">
        <v>2191</v>
      </c>
      <c r="B42" t="s">
        <v>14</v>
      </c>
      <c r="C42" t="s">
        <v>2342</v>
      </c>
      <c r="D42" t="s">
        <v>2343</v>
      </c>
      <c r="E42" t="s">
        <v>2344</v>
      </c>
      <c r="F42" t="s">
        <v>2345</v>
      </c>
      <c r="G42" t="s">
        <v>17</v>
      </c>
      <c r="H42" t="s">
        <v>17</v>
      </c>
      <c r="I42" t="s">
        <v>2287</v>
      </c>
      <c r="J42" t="s">
        <v>17</v>
      </c>
      <c r="K42" t="s">
        <v>838</v>
      </c>
      <c r="L42" t="s">
        <v>2346</v>
      </c>
      <c r="M42" t="s">
        <v>2347</v>
      </c>
      <c r="N42" t="s">
        <v>392</v>
      </c>
    </row>
    <row r="43" spans="1:14" ht="11.25" customHeight="1">
      <c r="A43" t="s">
        <v>2191</v>
      </c>
      <c r="B43" t="s">
        <v>14</v>
      </c>
      <c r="C43" t="s">
        <v>2342</v>
      </c>
      <c r="D43" t="s">
        <v>2343</v>
      </c>
      <c r="E43" t="s">
        <v>2344</v>
      </c>
      <c r="F43" t="s">
        <v>2345</v>
      </c>
      <c r="G43" t="s">
        <v>17</v>
      </c>
      <c r="H43" t="s">
        <v>17</v>
      </c>
      <c r="I43" t="s">
        <v>2348</v>
      </c>
      <c r="J43" t="s">
        <v>17</v>
      </c>
      <c r="K43" t="s">
        <v>2238</v>
      </c>
      <c r="L43" t="s">
        <v>2239</v>
      </c>
      <c r="M43" t="s">
        <v>2240</v>
      </c>
      <c r="N43" t="s">
        <v>392</v>
      </c>
    </row>
    <row r="44" spans="1:14" ht="11.25" customHeight="1">
      <c r="A44" t="s">
        <v>2191</v>
      </c>
      <c r="B44" t="s">
        <v>14</v>
      </c>
      <c r="C44" t="s">
        <v>2349</v>
      </c>
      <c r="D44" t="s">
        <v>2350</v>
      </c>
      <c r="E44" t="s">
        <v>2351</v>
      </c>
      <c r="F44" t="s">
        <v>2202</v>
      </c>
      <c r="G44" t="s">
        <v>17</v>
      </c>
      <c r="H44" t="s">
        <v>17</v>
      </c>
      <c r="I44" t="s">
        <v>2352</v>
      </c>
      <c r="J44" t="s">
        <v>17</v>
      </c>
      <c r="K44" t="s">
        <v>870</v>
      </c>
      <c r="L44" t="s">
        <v>2197</v>
      </c>
      <c r="M44" t="s">
        <v>2198</v>
      </c>
      <c r="N44" t="s">
        <v>392</v>
      </c>
    </row>
    <row r="45" spans="1:14" ht="11.25" customHeight="1">
      <c r="A45" t="s">
        <v>2191</v>
      </c>
      <c r="B45" t="s">
        <v>14</v>
      </c>
      <c r="C45" t="s">
        <v>2353</v>
      </c>
      <c r="D45" t="s">
        <v>2354</v>
      </c>
      <c r="E45" t="s">
        <v>2355</v>
      </c>
      <c r="F45" t="s">
        <v>2345</v>
      </c>
      <c r="G45" t="s">
        <v>17</v>
      </c>
      <c r="H45" t="s">
        <v>17</v>
      </c>
      <c r="I45" t="s">
        <v>2287</v>
      </c>
      <c r="J45" t="s">
        <v>17</v>
      </c>
      <c r="K45" t="s">
        <v>870</v>
      </c>
      <c r="L45" t="s">
        <v>2197</v>
      </c>
      <c r="M45" t="s">
        <v>2198</v>
      </c>
      <c r="N45" t="s">
        <v>392</v>
      </c>
    </row>
    <row r="46" spans="1:14" ht="11.25" customHeight="1">
      <c r="A46" t="s">
        <v>2191</v>
      </c>
      <c r="B46" t="s">
        <v>14</v>
      </c>
      <c r="C46" t="s">
        <v>2353</v>
      </c>
      <c r="D46" t="s">
        <v>2354</v>
      </c>
      <c r="E46" t="s">
        <v>2355</v>
      </c>
      <c r="F46" t="s">
        <v>2345</v>
      </c>
      <c r="G46" t="s">
        <v>17</v>
      </c>
      <c r="H46" t="s">
        <v>17</v>
      </c>
      <c r="I46" t="s">
        <v>2348</v>
      </c>
      <c r="J46" t="s">
        <v>17</v>
      </c>
      <c r="K46" t="s">
        <v>2238</v>
      </c>
      <c r="L46" t="s">
        <v>2239</v>
      </c>
      <c r="M46" t="s">
        <v>2240</v>
      </c>
      <c r="N46" t="s">
        <v>392</v>
      </c>
    </row>
    <row r="47" spans="1:14" ht="11.25" customHeight="1">
      <c r="A47" t="s">
        <v>2191</v>
      </c>
      <c r="B47" t="s">
        <v>14</v>
      </c>
      <c r="C47" t="s">
        <v>2356</v>
      </c>
      <c r="D47" t="s">
        <v>2357</v>
      </c>
      <c r="E47" t="s">
        <v>2358</v>
      </c>
      <c r="F47" t="s">
        <v>2195</v>
      </c>
      <c r="G47" t="s">
        <v>17</v>
      </c>
      <c r="H47" t="s">
        <v>17</v>
      </c>
      <c r="I47" t="s">
        <v>2196</v>
      </c>
      <c r="J47" t="s">
        <v>17</v>
      </c>
      <c r="K47" t="s">
        <v>870</v>
      </c>
      <c r="L47" t="s">
        <v>2197</v>
      </c>
      <c r="M47" t="s">
        <v>2198</v>
      </c>
      <c r="N47" t="s">
        <v>392</v>
      </c>
    </row>
    <row r="48" spans="1:14" ht="11.25" customHeight="1">
      <c r="A48" t="s">
        <v>2191</v>
      </c>
      <c r="B48" t="s">
        <v>14</v>
      </c>
      <c r="C48" t="s">
        <v>2356</v>
      </c>
      <c r="D48" t="s">
        <v>2357</v>
      </c>
      <c r="E48" t="s">
        <v>2358</v>
      </c>
      <c r="F48" t="s">
        <v>2195</v>
      </c>
      <c r="G48" t="s">
        <v>17</v>
      </c>
      <c r="H48" t="s">
        <v>17</v>
      </c>
      <c r="I48" t="s">
        <v>2359</v>
      </c>
      <c r="J48" t="s">
        <v>17</v>
      </c>
      <c r="K48" t="s">
        <v>870</v>
      </c>
      <c r="L48" t="s">
        <v>2197</v>
      </c>
      <c r="M48" t="s">
        <v>2198</v>
      </c>
      <c r="N48" t="s">
        <v>392</v>
      </c>
    </row>
    <row r="49" spans="1:14" ht="11.25" customHeight="1">
      <c r="A49" t="s">
        <v>2191</v>
      </c>
      <c r="B49" t="s">
        <v>14</v>
      </c>
      <c r="C49" t="s">
        <v>2356</v>
      </c>
      <c r="D49" t="s">
        <v>2357</v>
      </c>
      <c r="E49" t="s">
        <v>2358</v>
      </c>
      <c r="F49" t="s">
        <v>2195</v>
      </c>
      <c r="G49" t="s">
        <v>17</v>
      </c>
      <c r="H49" t="s">
        <v>17</v>
      </c>
      <c r="I49" t="s">
        <v>2360</v>
      </c>
      <c r="J49" t="s">
        <v>17</v>
      </c>
      <c r="K49" t="s">
        <v>870</v>
      </c>
      <c r="L49" t="s">
        <v>2197</v>
      </c>
      <c r="M49" t="s">
        <v>2198</v>
      </c>
      <c r="N49" t="s">
        <v>392</v>
      </c>
    </row>
    <row r="50" spans="1:14" ht="11.25" customHeight="1">
      <c r="A50" t="s">
        <v>2191</v>
      </c>
      <c r="B50" t="s">
        <v>14</v>
      </c>
      <c r="C50" t="s">
        <v>2361</v>
      </c>
      <c r="D50" t="s">
        <v>2362</v>
      </c>
      <c r="E50" t="s">
        <v>2363</v>
      </c>
      <c r="F50" t="s">
        <v>2364</v>
      </c>
      <c r="G50" t="s">
        <v>2365</v>
      </c>
      <c r="H50" t="s">
        <v>17</v>
      </c>
      <c r="I50" t="s">
        <v>2366</v>
      </c>
      <c r="J50" t="s">
        <v>17</v>
      </c>
      <c r="K50" t="s">
        <v>870</v>
      </c>
      <c r="L50" t="s">
        <v>2197</v>
      </c>
      <c r="M50" t="s">
        <v>2198</v>
      </c>
      <c r="N50" t="s">
        <v>392</v>
      </c>
    </row>
    <row r="51" spans="1:14" ht="11.25" customHeight="1">
      <c r="A51" t="s">
        <v>2191</v>
      </c>
      <c r="B51" t="s">
        <v>14</v>
      </c>
      <c r="C51" t="s">
        <v>2367</v>
      </c>
      <c r="D51" t="s">
        <v>2368</v>
      </c>
      <c r="E51" t="s">
        <v>2369</v>
      </c>
      <c r="F51" t="s">
        <v>2280</v>
      </c>
      <c r="G51" t="s">
        <v>2370</v>
      </c>
      <c r="H51" t="s">
        <v>17</v>
      </c>
      <c r="I51" t="s">
        <v>2370</v>
      </c>
      <c r="J51" t="s">
        <v>17</v>
      </c>
      <c r="K51" t="s">
        <v>870</v>
      </c>
      <c r="L51" t="s">
        <v>2197</v>
      </c>
      <c r="M51" t="s">
        <v>2198</v>
      </c>
      <c r="N51" t="s">
        <v>392</v>
      </c>
    </row>
    <row r="52" spans="1:14" ht="11.25" customHeight="1">
      <c r="A52" t="s">
        <v>2191</v>
      </c>
      <c r="B52" t="s">
        <v>14</v>
      </c>
      <c r="C52" t="s">
        <v>2371</v>
      </c>
      <c r="D52" t="s">
        <v>2372</v>
      </c>
      <c r="E52" t="s">
        <v>2373</v>
      </c>
      <c r="F52" t="s">
        <v>2374</v>
      </c>
      <c r="G52" t="s">
        <v>17</v>
      </c>
      <c r="H52" t="s">
        <v>17</v>
      </c>
      <c r="I52" t="s">
        <v>2196</v>
      </c>
      <c r="J52" t="s">
        <v>17</v>
      </c>
      <c r="K52" t="s">
        <v>870</v>
      </c>
      <c r="L52" t="s">
        <v>2197</v>
      </c>
      <c r="M52" t="s">
        <v>2198</v>
      </c>
      <c r="N52" t="s">
        <v>392</v>
      </c>
    </row>
    <row r="53" spans="1:14" ht="11.25" customHeight="1">
      <c r="A53" t="s">
        <v>2191</v>
      </c>
      <c r="B53" t="s">
        <v>14</v>
      </c>
      <c r="C53" t="s">
        <v>2375</v>
      </c>
      <c r="D53" t="s">
        <v>2376</v>
      </c>
      <c r="E53" t="s">
        <v>2377</v>
      </c>
      <c r="F53" t="s">
        <v>2207</v>
      </c>
      <c r="G53" t="s">
        <v>2378</v>
      </c>
      <c r="H53" t="s">
        <v>17</v>
      </c>
      <c r="I53" t="s">
        <v>2378</v>
      </c>
      <c r="J53" t="s">
        <v>17</v>
      </c>
      <c r="K53" t="s">
        <v>870</v>
      </c>
      <c r="L53" t="s">
        <v>2197</v>
      </c>
      <c r="M53" t="s">
        <v>2198</v>
      </c>
      <c r="N53" t="s">
        <v>392</v>
      </c>
    </row>
    <row r="54" spans="1:14" ht="11.25" customHeight="1">
      <c r="A54" t="s">
        <v>2191</v>
      </c>
      <c r="B54" t="s">
        <v>14</v>
      </c>
      <c r="C54" t="s">
        <v>2379</v>
      </c>
      <c r="D54" t="s">
        <v>2380</v>
      </c>
      <c r="E54" t="s">
        <v>2381</v>
      </c>
      <c r="F54" t="s">
        <v>2382</v>
      </c>
      <c r="G54" t="s">
        <v>2383</v>
      </c>
      <c r="H54" t="s">
        <v>17</v>
      </c>
      <c r="I54" t="s">
        <v>2383</v>
      </c>
      <c r="J54" t="s">
        <v>17</v>
      </c>
      <c r="K54" t="s">
        <v>870</v>
      </c>
      <c r="L54" t="s">
        <v>2197</v>
      </c>
      <c r="M54" t="s">
        <v>2198</v>
      </c>
      <c r="N54" t="s">
        <v>392</v>
      </c>
    </row>
    <row r="55" spans="1:14" ht="11.25" customHeight="1">
      <c r="A55" t="s">
        <v>2191</v>
      </c>
      <c r="B55" t="s">
        <v>14</v>
      </c>
      <c r="C55" t="s">
        <v>2384</v>
      </c>
      <c r="D55" t="s">
        <v>2385</v>
      </c>
      <c r="E55" t="s">
        <v>2386</v>
      </c>
      <c r="F55" t="s">
        <v>2382</v>
      </c>
      <c r="G55" t="s">
        <v>17</v>
      </c>
      <c r="H55" t="s">
        <v>17</v>
      </c>
      <c r="I55" t="s">
        <v>2196</v>
      </c>
      <c r="J55" t="s">
        <v>17</v>
      </c>
      <c r="K55" t="s">
        <v>870</v>
      </c>
      <c r="L55" t="s">
        <v>2197</v>
      </c>
      <c r="M55" t="s">
        <v>2198</v>
      </c>
      <c r="N55" t="s">
        <v>392</v>
      </c>
    </row>
    <row r="56" spans="1:14" ht="11.25" customHeight="1">
      <c r="A56" t="s">
        <v>2191</v>
      </c>
      <c r="B56" t="s">
        <v>14</v>
      </c>
      <c r="C56" t="s">
        <v>2387</v>
      </c>
      <c r="D56" t="s">
        <v>2388</v>
      </c>
      <c r="E56" t="s">
        <v>2389</v>
      </c>
      <c r="F56" t="s">
        <v>2382</v>
      </c>
      <c r="G56" t="s">
        <v>17</v>
      </c>
      <c r="H56" t="s">
        <v>17</v>
      </c>
      <c r="I56" t="s">
        <v>2390</v>
      </c>
      <c r="J56" t="s">
        <v>17</v>
      </c>
      <c r="K56" t="s">
        <v>870</v>
      </c>
      <c r="L56" t="s">
        <v>2197</v>
      </c>
      <c r="M56" t="s">
        <v>2198</v>
      </c>
      <c r="N56" t="s">
        <v>392</v>
      </c>
    </row>
    <row r="57" spans="1:14" ht="11.25" customHeight="1">
      <c r="A57" t="s">
        <v>2191</v>
      </c>
      <c r="B57" t="s">
        <v>14</v>
      </c>
      <c r="C57" t="s">
        <v>2391</v>
      </c>
      <c r="D57" t="s">
        <v>2392</v>
      </c>
      <c r="E57" t="s">
        <v>2393</v>
      </c>
      <c r="F57" t="s">
        <v>2394</v>
      </c>
      <c r="G57" t="s">
        <v>17</v>
      </c>
      <c r="H57" t="s">
        <v>17</v>
      </c>
      <c r="I57" t="s">
        <v>2235</v>
      </c>
      <c r="J57" t="s">
        <v>17</v>
      </c>
      <c r="K57" t="s">
        <v>870</v>
      </c>
      <c r="L57" t="s">
        <v>2197</v>
      </c>
      <c r="M57" t="s">
        <v>2198</v>
      </c>
      <c r="N57" t="s">
        <v>392</v>
      </c>
    </row>
    <row r="58" spans="1:14" ht="11.25" customHeight="1">
      <c r="A58" t="s">
        <v>2191</v>
      </c>
      <c r="B58" t="s">
        <v>14</v>
      </c>
      <c r="C58" t="s">
        <v>2395</v>
      </c>
      <c r="D58" t="s">
        <v>2396</v>
      </c>
      <c r="E58" t="s">
        <v>2397</v>
      </c>
      <c r="F58" t="s">
        <v>2398</v>
      </c>
      <c r="G58" t="s">
        <v>17</v>
      </c>
      <c r="H58" t="s">
        <v>17</v>
      </c>
      <c r="I58" t="s">
        <v>2196</v>
      </c>
      <c r="J58" t="s">
        <v>17</v>
      </c>
      <c r="K58" t="s">
        <v>870</v>
      </c>
      <c r="L58" t="s">
        <v>2197</v>
      </c>
      <c r="M58" t="s">
        <v>2198</v>
      </c>
      <c r="N58" t="s">
        <v>392</v>
      </c>
    </row>
    <row r="59" spans="1:14" ht="11.25" customHeight="1">
      <c r="A59" t="s">
        <v>2191</v>
      </c>
      <c r="B59" t="s">
        <v>14</v>
      </c>
      <c r="C59" t="s">
        <v>2399</v>
      </c>
      <c r="D59" t="s">
        <v>2400</v>
      </c>
      <c r="E59" t="s">
        <v>2401</v>
      </c>
      <c r="F59" t="s">
        <v>2402</v>
      </c>
      <c r="G59" t="s">
        <v>17</v>
      </c>
      <c r="H59" t="s">
        <v>17</v>
      </c>
      <c r="I59" t="s">
        <v>2235</v>
      </c>
      <c r="J59" t="s">
        <v>17</v>
      </c>
      <c r="K59" t="s">
        <v>930</v>
      </c>
      <c r="L59" t="s">
        <v>2218</v>
      </c>
      <c r="M59" t="s">
        <v>2219</v>
      </c>
      <c r="N59" t="s">
        <v>392</v>
      </c>
    </row>
    <row r="60" spans="1:14" ht="11.25" customHeight="1">
      <c r="A60" t="s">
        <v>2191</v>
      </c>
      <c r="B60" t="s">
        <v>14</v>
      </c>
      <c r="C60" t="s">
        <v>2403</v>
      </c>
      <c r="D60" t="s">
        <v>2404</v>
      </c>
      <c r="E60" t="s">
        <v>2405</v>
      </c>
      <c r="F60" t="s">
        <v>2406</v>
      </c>
      <c r="G60" t="s">
        <v>17</v>
      </c>
      <c r="H60" t="s">
        <v>17</v>
      </c>
      <c r="I60" t="s">
        <v>2319</v>
      </c>
      <c r="J60" t="s">
        <v>17</v>
      </c>
      <c r="K60" t="s">
        <v>870</v>
      </c>
      <c r="L60" t="s">
        <v>2197</v>
      </c>
      <c r="M60" t="s">
        <v>2198</v>
      </c>
      <c r="N60" t="s">
        <v>392</v>
      </c>
    </row>
    <row r="61" spans="1:14" ht="11.25" customHeight="1">
      <c r="A61" t="s">
        <v>2191</v>
      </c>
      <c r="B61" t="s">
        <v>14</v>
      </c>
      <c r="C61" t="s">
        <v>2407</v>
      </c>
      <c r="D61" t="s">
        <v>2408</v>
      </c>
      <c r="E61" t="s">
        <v>2409</v>
      </c>
      <c r="F61" t="s">
        <v>2410</v>
      </c>
      <c r="G61" t="s">
        <v>17</v>
      </c>
      <c r="H61" t="s">
        <v>17</v>
      </c>
      <c r="I61" t="s">
        <v>2319</v>
      </c>
      <c r="J61" t="s">
        <v>17</v>
      </c>
      <c r="K61" t="s">
        <v>870</v>
      </c>
      <c r="L61" t="s">
        <v>2197</v>
      </c>
      <c r="M61" t="s">
        <v>2198</v>
      </c>
      <c r="N61" t="s">
        <v>392</v>
      </c>
    </row>
    <row r="62" spans="1:14" ht="11.25" customHeight="1">
      <c r="A62" t="s">
        <v>2191</v>
      </c>
      <c r="B62" t="s">
        <v>14</v>
      </c>
      <c r="C62" t="s">
        <v>2411</v>
      </c>
      <c r="D62" t="s">
        <v>2412</v>
      </c>
      <c r="E62" t="s">
        <v>2413</v>
      </c>
      <c r="F62" t="s">
        <v>2414</v>
      </c>
      <c r="G62" t="s">
        <v>17</v>
      </c>
      <c r="H62" t="s">
        <v>17</v>
      </c>
      <c r="I62" t="s">
        <v>2319</v>
      </c>
      <c r="J62" t="s">
        <v>17</v>
      </c>
      <c r="K62" t="s">
        <v>870</v>
      </c>
      <c r="L62" t="s">
        <v>2197</v>
      </c>
      <c r="M62" t="s">
        <v>2198</v>
      </c>
      <c r="N62" t="s">
        <v>392</v>
      </c>
    </row>
    <row r="63" spans="1:14" ht="11.25" customHeight="1">
      <c r="A63" t="s">
        <v>2191</v>
      </c>
      <c r="B63" t="s">
        <v>14</v>
      </c>
      <c r="C63" t="s">
        <v>2415</v>
      </c>
      <c r="D63" t="s">
        <v>2416</v>
      </c>
      <c r="E63" t="s">
        <v>2417</v>
      </c>
      <c r="F63" t="s">
        <v>2248</v>
      </c>
      <c r="G63" t="s">
        <v>17</v>
      </c>
      <c r="H63" t="s">
        <v>17</v>
      </c>
      <c r="I63" t="s">
        <v>2418</v>
      </c>
      <c r="J63" t="s">
        <v>17</v>
      </c>
      <c r="K63" t="s">
        <v>870</v>
      </c>
      <c r="L63" t="s">
        <v>2197</v>
      </c>
      <c r="M63" t="s">
        <v>2198</v>
      </c>
      <c r="N63" t="s">
        <v>392</v>
      </c>
    </row>
    <row r="64" spans="1:14" ht="11.25" customHeight="1">
      <c r="A64" t="s">
        <v>2191</v>
      </c>
      <c r="B64" t="s">
        <v>14</v>
      </c>
      <c r="C64" t="s">
        <v>2419</v>
      </c>
      <c r="D64" t="s">
        <v>2420</v>
      </c>
      <c r="E64" t="s">
        <v>2421</v>
      </c>
      <c r="F64" t="s">
        <v>2422</v>
      </c>
      <c r="G64" t="s">
        <v>17</v>
      </c>
      <c r="H64" t="s">
        <v>17</v>
      </c>
      <c r="I64" t="s">
        <v>2235</v>
      </c>
      <c r="J64" t="s">
        <v>17</v>
      </c>
      <c r="K64" t="s">
        <v>870</v>
      </c>
      <c r="L64" t="s">
        <v>2197</v>
      </c>
      <c r="M64" t="s">
        <v>2198</v>
      </c>
      <c r="N64" t="s">
        <v>392</v>
      </c>
    </row>
    <row r="65" spans="1:14" ht="11.25" customHeight="1">
      <c r="A65" t="s">
        <v>2191</v>
      </c>
      <c r="B65" t="s">
        <v>14</v>
      </c>
      <c r="C65" t="s">
        <v>2423</v>
      </c>
      <c r="D65" t="s">
        <v>2424</v>
      </c>
      <c r="E65" t="s">
        <v>2425</v>
      </c>
      <c r="F65" t="s">
        <v>2280</v>
      </c>
      <c r="G65" t="s">
        <v>17</v>
      </c>
      <c r="H65" t="s">
        <v>17</v>
      </c>
      <c r="I65" t="s">
        <v>2426</v>
      </c>
      <c r="J65" t="s">
        <v>17</v>
      </c>
      <c r="K65" t="s">
        <v>930</v>
      </c>
      <c r="L65" t="s">
        <v>2218</v>
      </c>
      <c r="M65" t="s">
        <v>2219</v>
      </c>
      <c r="N65" t="s">
        <v>392</v>
      </c>
    </row>
    <row r="66" spans="1:14" ht="11.25" customHeight="1">
      <c r="A66" t="s">
        <v>2191</v>
      </c>
      <c r="B66" t="s">
        <v>14</v>
      </c>
      <c r="C66" t="s">
        <v>2423</v>
      </c>
      <c r="D66" t="s">
        <v>2424</v>
      </c>
      <c r="E66" t="s">
        <v>2425</v>
      </c>
      <c r="F66" t="s">
        <v>2280</v>
      </c>
      <c r="G66" t="s">
        <v>17</v>
      </c>
      <c r="H66" t="s">
        <v>17</v>
      </c>
      <c r="I66" t="s">
        <v>2427</v>
      </c>
      <c r="J66" t="s">
        <v>17</v>
      </c>
      <c r="K66" t="s">
        <v>2428</v>
      </c>
      <c r="L66" t="s">
        <v>2429</v>
      </c>
      <c r="M66" t="s">
        <v>2430</v>
      </c>
      <c r="N66" t="s">
        <v>392</v>
      </c>
    </row>
    <row r="67" spans="1:14" ht="11.25" customHeight="1">
      <c r="A67" t="s">
        <v>2191</v>
      </c>
      <c r="B67" t="s">
        <v>14</v>
      </c>
      <c r="C67" t="s">
        <v>2431</v>
      </c>
      <c r="D67" t="s">
        <v>2432</v>
      </c>
      <c r="E67" t="s">
        <v>2433</v>
      </c>
      <c r="F67" t="s">
        <v>2257</v>
      </c>
      <c r="G67" t="s">
        <v>17</v>
      </c>
      <c r="H67" t="s">
        <v>17</v>
      </c>
      <c r="I67" t="s">
        <v>2434</v>
      </c>
      <c r="J67" t="s">
        <v>17</v>
      </c>
      <c r="K67" t="s">
        <v>870</v>
      </c>
      <c r="L67" t="s">
        <v>2197</v>
      </c>
      <c r="M67" t="s">
        <v>2198</v>
      </c>
      <c r="N67" t="s">
        <v>392</v>
      </c>
    </row>
    <row r="68" spans="1:14" ht="11.25" customHeight="1">
      <c r="A68" t="s">
        <v>2191</v>
      </c>
      <c r="B68" t="s">
        <v>14</v>
      </c>
      <c r="C68" t="s">
        <v>2435</v>
      </c>
      <c r="D68" t="s">
        <v>2436</v>
      </c>
      <c r="E68" t="s">
        <v>2437</v>
      </c>
      <c r="F68" t="s">
        <v>2244</v>
      </c>
      <c r="G68" t="s">
        <v>17</v>
      </c>
      <c r="H68" t="s">
        <v>17</v>
      </c>
      <c r="I68" t="s">
        <v>2235</v>
      </c>
      <c r="J68" t="s">
        <v>17</v>
      </c>
      <c r="K68" t="s">
        <v>870</v>
      </c>
      <c r="L68" t="s">
        <v>2197</v>
      </c>
      <c r="M68" t="s">
        <v>2198</v>
      </c>
      <c r="N68" t="s">
        <v>392</v>
      </c>
    </row>
    <row r="69" spans="1:14" ht="11.25" customHeight="1">
      <c r="A69" t="s">
        <v>2191</v>
      </c>
      <c r="B69" t="s">
        <v>14</v>
      </c>
      <c r="C69" t="s">
        <v>2438</v>
      </c>
      <c r="D69" t="s">
        <v>2439</v>
      </c>
      <c r="E69" t="s">
        <v>2440</v>
      </c>
      <c r="F69" t="s">
        <v>2441</v>
      </c>
      <c r="G69" t="s">
        <v>17</v>
      </c>
      <c r="H69" t="s">
        <v>17</v>
      </c>
      <c r="I69" t="s">
        <v>2442</v>
      </c>
      <c r="J69" t="s">
        <v>17</v>
      </c>
      <c r="K69" t="s">
        <v>870</v>
      </c>
      <c r="L69" t="s">
        <v>2197</v>
      </c>
      <c r="M69" t="s">
        <v>2198</v>
      </c>
      <c r="N69" t="s">
        <v>392</v>
      </c>
    </row>
    <row r="70" spans="1:14" ht="11.25" customHeight="1">
      <c r="A70" t="s">
        <v>2191</v>
      </c>
      <c r="B70" t="s">
        <v>14</v>
      </c>
      <c r="C70" t="s">
        <v>2438</v>
      </c>
      <c r="D70" t="s">
        <v>2439</v>
      </c>
      <c r="E70" t="s">
        <v>2440</v>
      </c>
      <c r="F70" t="s">
        <v>2441</v>
      </c>
      <c r="G70" t="s">
        <v>17</v>
      </c>
      <c r="H70" t="s">
        <v>17</v>
      </c>
      <c r="I70" t="s">
        <v>2443</v>
      </c>
      <c r="J70" t="s">
        <v>17</v>
      </c>
      <c r="K70" t="s">
        <v>870</v>
      </c>
      <c r="L70" t="s">
        <v>2197</v>
      </c>
      <c r="M70" t="s">
        <v>2198</v>
      </c>
      <c r="N70" t="s">
        <v>392</v>
      </c>
    </row>
    <row r="71" spans="1:14" ht="11.25" customHeight="1">
      <c r="A71" t="s">
        <v>2191</v>
      </c>
      <c r="B71" t="s">
        <v>14</v>
      </c>
      <c r="C71" t="s">
        <v>2438</v>
      </c>
      <c r="D71" t="s">
        <v>2439</v>
      </c>
      <c r="E71" t="s">
        <v>2440</v>
      </c>
      <c r="F71" t="s">
        <v>2441</v>
      </c>
      <c r="G71" t="s">
        <v>17</v>
      </c>
      <c r="H71" t="s">
        <v>17</v>
      </c>
      <c r="I71" t="s">
        <v>2319</v>
      </c>
      <c r="J71" t="s">
        <v>17</v>
      </c>
      <c r="K71" t="s">
        <v>870</v>
      </c>
      <c r="L71" t="s">
        <v>2197</v>
      </c>
      <c r="M71" t="s">
        <v>2198</v>
      </c>
      <c r="N71" t="s">
        <v>392</v>
      </c>
    </row>
    <row r="72" spans="1:14" ht="11.25" customHeight="1">
      <c r="A72" t="s">
        <v>2191</v>
      </c>
      <c r="B72" t="s">
        <v>14</v>
      </c>
      <c r="C72" t="s">
        <v>2444</v>
      </c>
      <c r="D72" t="s">
        <v>2445</v>
      </c>
      <c r="E72" t="s">
        <v>2446</v>
      </c>
      <c r="F72" t="s">
        <v>2447</v>
      </c>
      <c r="G72" t="s">
        <v>17</v>
      </c>
      <c r="H72" t="s">
        <v>17</v>
      </c>
      <c r="I72" t="s">
        <v>2319</v>
      </c>
      <c r="J72" t="s">
        <v>17</v>
      </c>
      <c r="K72" t="s">
        <v>870</v>
      </c>
      <c r="L72" t="s">
        <v>2197</v>
      </c>
      <c r="M72" t="s">
        <v>2198</v>
      </c>
      <c r="N72" t="s">
        <v>392</v>
      </c>
    </row>
    <row r="73" spans="1:14" ht="11.25" customHeight="1">
      <c r="A73" t="s">
        <v>2191</v>
      </c>
      <c r="B73" t="s">
        <v>14</v>
      </c>
      <c r="C73" t="s">
        <v>2448</v>
      </c>
      <c r="D73" t="s">
        <v>2449</v>
      </c>
      <c r="E73" t="s">
        <v>2450</v>
      </c>
      <c r="F73" t="s">
        <v>2451</v>
      </c>
      <c r="G73" t="s">
        <v>17</v>
      </c>
      <c r="H73" t="s">
        <v>17</v>
      </c>
      <c r="I73" t="s">
        <v>2319</v>
      </c>
      <c r="J73" t="s">
        <v>17</v>
      </c>
      <c r="K73" t="s">
        <v>870</v>
      </c>
      <c r="L73" t="s">
        <v>2197</v>
      </c>
      <c r="M73" t="s">
        <v>2198</v>
      </c>
      <c r="N73" t="s">
        <v>392</v>
      </c>
    </row>
    <row r="74" spans="1:14" ht="11.25" customHeight="1">
      <c r="A74" t="s">
        <v>2191</v>
      </c>
      <c r="B74" t="s">
        <v>14</v>
      </c>
      <c r="C74" t="s">
        <v>2452</v>
      </c>
      <c r="D74" t="s">
        <v>2453</v>
      </c>
      <c r="E74" t="s">
        <v>2454</v>
      </c>
      <c r="F74" t="s">
        <v>51</v>
      </c>
      <c r="G74" t="s">
        <v>17</v>
      </c>
      <c r="H74" t="s">
        <v>17</v>
      </c>
      <c r="I74" t="s">
        <v>2287</v>
      </c>
      <c r="J74" t="s">
        <v>17</v>
      </c>
      <c r="K74" t="s">
        <v>870</v>
      </c>
      <c r="L74" t="s">
        <v>2197</v>
      </c>
      <c r="M74" t="s">
        <v>2198</v>
      </c>
      <c r="N74" t="s">
        <v>392</v>
      </c>
    </row>
    <row r="75" spans="1:14" ht="11.25" customHeight="1">
      <c r="A75" t="s">
        <v>2191</v>
      </c>
      <c r="B75" t="s">
        <v>14</v>
      </c>
      <c r="C75" t="s">
        <v>2455</v>
      </c>
      <c r="D75" t="s">
        <v>2456</v>
      </c>
      <c r="E75" t="s">
        <v>2457</v>
      </c>
      <c r="F75" t="s">
        <v>51</v>
      </c>
      <c r="G75" t="s">
        <v>17</v>
      </c>
      <c r="H75" t="s">
        <v>17</v>
      </c>
      <c r="I75" t="s">
        <v>2458</v>
      </c>
      <c r="J75" t="s">
        <v>17</v>
      </c>
      <c r="K75" t="s">
        <v>775</v>
      </c>
      <c r="L75" t="s">
        <v>2220</v>
      </c>
      <c r="M75" t="s">
        <v>2221</v>
      </c>
      <c r="N75" t="s">
        <v>392</v>
      </c>
    </row>
    <row r="76" spans="1:14" ht="11.25" customHeight="1">
      <c r="A76" t="s">
        <v>2191</v>
      </c>
      <c r="B76" t="s">
        <v>14</v>
      </c>
      <c r="C76" t="s">
        <v>2455</v>
      </c>
      <c r="D76" t="s">
        <v>2456</v>
      </c>
      <c r="E76" t="s">
        <v>2457</v>
      </c>
      <c r="F76" t="s">
        <v>51</v>
      </c>
      <c r="G76" t="s">
        <v>17</v>
      </c>
      <c r="H76" t="s">
        <v>17</v>
      </c>
      <c r="I76" t="s">
        <v>2459</v>
      </c>
      <c r="J76" t="s">
        <v>17</v>
      </c>
      <c r="K76" t="s">
        <v>930</v>
      </c>
      <c r="L76" t="s">
        <v>2218</v>
      </c>
      <c r="M76" t="s">
        <v>2219</v>
      </c>
      <c r="N76" t="s">
        <v>392</v>
      </c>
    </row>
    <row r="77" spans="1:14" ht="11.25" customHeight="1">
      <c r="A77" t="s">
        <v>2191</v>
      </c>
      <c r="B77" t="s">
        <v>14</v>
      </c>
      <c r="C77" t="s">
        <v>2460</v>
      </c>
      <c r="D77" t="s">
        <v>2461</v>
      </c>
      <c r="E77" t="s">
        <v>2462</v>
      </c>
      <c r="F77" t="s">
        <v>2382</v>
      </c>
      <c r="G77" t="s">
        <v>17</v>
      </c>
      <c r="H77" t="s">
        <v>17</v>
      </c>
      <c r="I77" t="s">
        <v>2196</v>
      </c>
      <c r="J77" t="s">
        <v>2463</v>
      </c>
      <c r="K77" t="s">
        <v>775</v>
      </c>
      <c r="L77" t="s">
        <v>2220</v>
      </c>
      <c r="M77" t="s">
        <v>2221</v>
      </c>
      <c r="N77" t="s">
        <v>392</v>
      </c>
    </row>
    <row r="78" spans="1:14" ht="11.25" customHeight="1">
      <c r="A78" t="s">
        <v>2191</v>
      </c>
      <c r="B78" t="s">
        <v>14</v>
      </c>
      <c r="C78" t="s">
        <v>2464</v>
      </c>
      <c r="D78" t="s">
        <v>2465</v>
      </c>
      <c r="E78" t="s">
        <v>2466</v>
      </c>
      <c r="F78" t="s">
        <v>2467</v>
      </c>
      <c r="G78" t="s">
        <v>17</v>
      </c>
      <c r="H78" t="s">
        <v>17</v>
      </c>
      <c r="I78" t="s">
        <v>2196</v>
      </c>
      <c r="J78" t="s">
        <v>17</v>
      </c>
      <c r="K78" t="s">
        <v>870</v>
      </c>
      <c r="L78" t="s">
        <v>2197</v>
      </c>
      <c r="M78" t="s">
        <v>2198</v>
      </c>
      <c r="N78" t="s">
        <v>392</v>
      </c>
    </row>
    <row r="79" spans="1:14" ht="11.25" customHeight="1">
      <c r="A79" t="s">
        <v>2191</v>
      </c>
      <c r="B79" t="s">
        <v>14</v>
      </c>
      <c r="C79" t="s">
        <v>2468</v>
      </c>
      <c r="D79" t="s">
        <v>2469</v>
      </c>
      <c r="E79" t="s">
        <v>2470</v>
      </c>
      <c r="F79" t="s">
        <v>1426</v>
      </c>
      <c r="G79" t="s">
        <v>17</v>
      </c>
      <c r="H79" t="s">
        <v>17</v>
      </c>
      <c r="I79" t="s">
        <v>2471</v>
      </c>
      <c r="J79" t="s">
        <v>17</v>
      </c>
      <c r="K79" t="s">
        <v>870</v>
      </c>
      <c r="L79" t="s">
        <v>2197</v>
      </c>
      <c r="M79" t="s">
        <v>2198</v>
      </c>
      <c r="N79" t="s">
        <v>392</v>
      </c>
    </row>
    <row r="80" spans="1:14" ht="11.25" customHeight="1">
      <c r="A80" t="s">
        <v>2191</v>
      </c>
      <c r="B80" t="s">
        <v>14</v>
      </c>
      <c r="C80" t="s">
        <v>2472</v>
      </c>
      <c r="D80" t="s">
        <v>2473</v>
      </c>
      <c r="E80" t="s">
        <v>2474</v>
      </c>
      <c r="F80" t="s">
        <v>1426</v>
      </c>
      <c r="G80" t="s">
        <v>17</v>
      </c>
      <c r="H80" t="s">
        <v>17</v>
      </c>
      <c r="I80" t="s">
        <v>2475</v>
      </c>
      <c r="J80" t="s">
        <v>17</v>
      </c>
      <c r="K80" t="s">
        <v>930</v>
      </c>
      <c r="L80" t="s">
        <v>2218</v>
      </c>
      <c r="M80" t="s">
        <v>2219</v>
      </c>
      <c r="N80" t="s">
        <v>392</v>
      </c>
    </row>
    <row r="81" spans="1:14" ht="11.25" customHeight="1">
      <c r="A81" t="s">
        <v>2191</v>
      </c>
      <c r="B81" t="s">
        <v>14</v>
      </c>
      <c r="C81" t="s">
        <v>2476</v>
      </c>
      <c r="D81" t="s">
        <v>2477</v>
      </c>
      <c r="E81" t="s">
        <v>2478</v>
      </c>
      <c r="F81" t="s">
        <v>1426</v>
      </c>
      <c r="G81" t="s">
        <v>17</v>
      </c>
      <c r="H81" t="s">
        <v>17</v>
      </c>
      <c r="I81" t="s">
        <v>2479</v>
      </c>
      <c r="J81" t="s">
        <v>17</v>
      </c>
      <c r="K81" t="s">
        <v>802</v>
      </c>
      <c r="L81" t="s">
        <v>802</v>
      </c>
      <c r="M81" t="s">
        <v>2480</v>
      </c>
      <c r="N81" t="s">
        <v>392</v>
      </c>
    </row>
    <row r="82" spans="1:14" ht="11.25" customHeight="1">
      <c r="A82" t="s">
        <v>2191</v>
      </c>
      <c r="B82" t="s">
        <v>14</v>
      </c>
      <c r="C82" t="s">
        <v>2476</v>
      </c>
      <c r="D82" t="s">
        <v>2477</v>
      </c>
      <c r="E82" t="s">
        <v>2478</v>
      </c>
      <c r="F82" t="s">
        <v>1426</v>
      </c>
      <c r="G82" t="s">
        <v>17</v>
      </c>
      <c r="H82" t="s">
        <v>17</v>
      </c>
      <c r="I82" t="s">
        <v>2479</v>
      </c>
      <c r="J82" t="s">
        <v>17</v>
      </c>
      <c r="K82" t="s">
        <v>2481</v>
      </c>
      <c r="L82" t="s">
        <v>802</v>
      </c>
      <c r="M82" t="s">
        <v>2482</v>
      </c>
      <c r="N82" t="s">
        <v>392</v>
      </c>
    </row>
    <row r="83" spans="1:14" ht="11.25" customHeight="1">
      <c r="A83" t="s">
        <v>2191</v>
      </c>
      <c r="B83" t="s">
        <v>14</v>
      </c>
      <c r="C83" t="s">
        <v>2483</v>
      </c>
      <c r="D83" t="s">
        <v>2484</v>
      </c>
      <c r="E83" t="s">
        <v>2485</v>
      </c>
      <c r="F83" t="s">
        <v>1426</v>
      </c>
      <c r="G83" t="s">
        <v>17</v>
      </c>
      <c r="H83" t="s">
        <v>17</v>
      </c>
      <c r="I83" t="s">
        <v>2486</v>
      </c>
      <c r="J83" t="s">
        <v>17</v>
      </c>
      <c r="K83" t="s">
        <v>870</v>
      </c>
      <c r="L83" t="s">
        <v>2197</v>
      </c>
      <c r="M83" t="s">
        <v>2198</v>
      </c>
      <c r="N83" t="s">
        <v>392</v>
      </c>
    </row>
    <row r="84" spans="1:14" ht="11.25" customHeight="1">
      <c r="A84" t="s">
        <v>2191</v>
      </c>
      <c r="B84" t="s">
        <v>14</v>
      </c>
      <c r="C84" t="s">
        <v>2487</v>
      </c>
      <c r="D84" t="s">
        <v>2488</v>
      </c>
      <c r="E84" t="s">
        <v>2393</v>
      </c>
      <c r="F84" t="s">
        <v>2489</v>
      </c>
      <c r="G84" t="s">
        <v>17</v>
      </c>
      <c r="H84" t="s">
        <v>17</v>
      </c>
      <c r="I84" t="s">
        <v>2235</v>
      </c>
      <c r="J84" t="s">
        <v>17</v>
      </c>
      <c r="K84" t="s">
        <v>775</v>
      </c>
      <c r="L84" t="s">
        <v>2236</v>
      </c>
      <c r="M84" t="s">
        <v>2237</v>
      </c>
      <c r="N84" t="s">
        <v>392</v>
      </c>
    </row>
    <row r="85" spans="1:14" ht="11.25" customHeight="1">
      <c r="A85" t="s">
        <v>2191</v>
      </c>
      <c r="B85" t="s">
        <v>14</v>
      </c>
      <c r="C85" t="s">
        <v>2487</v>
      </c>
      <c r="D85" t="s">
        <v>2488</v>
      </c>
      <c r="E85" t="s">
        <v>2393</v>
      </c>
      <c r="F85" t="s">
        <v>2489</v>
      </c>
      <c r="G85" t="s">
        <v>17</v>
      </c>
      <c r="H85" t="s">
        <v>17</v>
      </c>
      <c r="I85" t="s">
        <v>2235</v>
      </c>
      <c r="J85" t="s">
        <v>17</v>
      </c>
      <c r="K85" t="s">
        <v>870</v>
      </c>
      <c r="L85" t="s">
        <v>2236</v>
      </c>
      <c r="M85" t="s">
        <v>2237</v>
      </c>
      <c r="N85" t="s">
        <v>392</v>
      </c>
    </row>
    <row r="86" spans="1:14" ht="11.25" customHeight="1">
      <c r="A86" t="s">
        <v>2191</v>
      </c>
      <c r="B86" t="s">
        <v>14</v>
      </c>
      <c r="C86" t="s">
        <v>2487</v>
      </c>
      <c r="D86" t="s">
        <v>2488</v>
      </c>
      <c r="E86" t="s">
        <v>2393</v>
      </c>
      <c r="F86" t="s">
        <v>2489</v>
      </c>
      <c r="G86" t="s">
        <v>17</v>
      </c>
      <c r="H86" t="s">
        <v>17</v>
      </c>
      <c r="I86" t="s">
        <v>2235</v>
      </c>
      <c r="J86" t="s">
        <v>17</v>
      </c>
      <c r="K86" t="s">
        <v>838</v>
      </c>
      <c r="L86" t="s">
        <v>2236</v>
      </c>
      <c r="M86" t="s">
        <v>2237</v>
      </c>
      <c r="N86" t="s">
        <v>392</v>
      </c>
    </row>
    <row r="87" spans="1:14" ht="11.25" customHeight="1">
      <c r="A87" t="s">
        <v>2191</v>
      </c>
      <c r="B87" t="s">
        <v>14</v>
      </c>
      <c r="C87" t="s">
        <v>2490</v>
      </c>
      <c r="D87" t="s">
        <v>2491</v>
      </c>
      <c r="E87" t="s">
        <v>2492</v>
      </c>
      <c r="F87" t="s">
        <v>2493</v>
      </c>
      <c r="G87" t="s">
        <v>17</v>
      </c>
      <c r="H87" t="s">
        <v>17</v>
      </c>
      <c r="I87" t="s">
        <v>2319</v>
      </c>
      <c r="J87" t="s">
        <v>17</v>
      </c>
      <c r="K87" t="s">
        <v>870</v>
      </c>
      <c r="L87" t="s">
        <v>2197</v>
      </c>
      <c r="M87" t="s">
        <v>2198</v>
      </c>
      <c r="N87" t="s">
        <v>392</v>
      </c>
    </row>
    <row r="88" spans="1:14" ht="11.25" customHeight="1">
      <c r="A88" t="s">
        <v>2191</v>
      </c>
      <c r="B88" t="s">
        <v>14</v>
      </c>
      <c r="C88" t="s">
        <v>2494</v>
      </c>
      <c r="D88" t="s">
        <v>2495</v>
      </c>
      <c r="E88" t="s">
        <v>2496</v>
      </c>
      <c r="F88" t="s">
        <v>2497</v>
      </c>
      <c r="G88" t="s">
        <v>17</v>
      </c>
      <c r="H88" t="s">
        <v>17</v>
      </c>
      <c r="I88" t="s">
        <v>2235</v>
      </c>
      <c r="J88" t="s">
        <v>17</v>
      </c>
      <c r="K88" t="s">
        <v>930</v>
      </c>
      <c r="L88" t="s">
        <v>2218</v>
      </c>
      <c r="M88" t="s">
        <v>2219</v>
      </c>
      <c r="N88" t="s">
        <v>392</v>
      </c>
    </row>
    <row r="89" spans="1:14" ht="11.25" customHeight="1">
      <c r="A89" t="s">
        <v>2191</v>
      </c>
      <c r="B89" t="s">
        <v>14</v>
      </c>
      <c r="C89" t="s">
        <v>2498</v>
      </c>
      <c r="D89" t="s">
        <v>2499</v>
      </c>
      <c r="E89" t="s">
        <v>2500</v>
      </c>
      <c r="F89" t="s">
        <v>2374</v>
      </c>
      <c r="G89" t="s">
        <v>17</v>
      </c>
      <c r="H89" t="s">
        <v>17</v>
      </c>
      <c r="I89" t="s">
        <v>2501</v>
      </c>
      <c r="J89" t="s">
        <v>17</v>
      </c>
      <c r="K89" t="s">
        <v>870</v>
      </c>
      <c r="L89" t="s">
        <v>2197</v>
      </c>
      <c r="M89" t="s">
        <v>2198</v>
      </c>
      <c r="N89" t="s">
        <v>392</v>
      </c>
    </row>
    <row r="90" spans="1:14" ht="11.25" customHeight="1">
      <c r="A90" t="s">
        <v>2191</v>
      </c>
      <c r="B90" t="s">
        <v>14</v>
      </c>
      <c r="C90" t="s">
        <v>2502</v>
      </c>
      <c r="D90" t="s">
        <v>2503</v>
      </c>
      <c r="E90" t="s">
        <v>2504</v>
      </c>
      <c r="F90" t="s">
        <v>2296</v>
      </c>
      <c r="G90" t="s">
        <v>17</v>
      </c>
      <c r="H90" t="s">
        <v>17</v>
      </c>
      <c r="I90" t="s">
        <v>2505</v>
      </c>
      <c r="J90" t="s">
        <v>17</v>
      </c>
      <c r="K90" t="s">
        <v>870</v>
      </c>
      <c r="L90" t="s">
        <v>2197</v>
      </c>
      <c r="M90" t="s">
        <v>2198</v>
      </c>
      <c r="N90" t="s">
        <v>392</v>
      </c>
    </row>
    <row r="91" spans="1:14" ht="11.25" customHeight="1">
      <c r="A91" t="s">
        <v>2191</v>
      </c>
      <c r="B91" t="s">
        <v>14</v>
      </c>
      <c r="C91" t="s">
        <v>2506</v>
      </c>
      <c r="D91" t="s">
        <v>2507</v>
      </c>
      <c r="E91" t="s">
        <v>2508</v>
      </c>
      <c r="F91" t="s">
        <v>2374</v>
      </c>
      <c r="G91" t="s">
        <v>17</v>
      </c>
      <c r="H91" t="s">
        <v>17</v>
      </c>
      <c r="I91" t="s">
        <v>2509</v>
      </c>
      <c r="J91" t="s">
        <v>17</v>
      </c>
      <c r="K91" t="s">
        <v>870</v>
      </c>
      <c r="L91" t="s">
        <v>2197</v>
      </c>
      <c r="M91" t="s">
        <v>2198</v>
      </c>
      <c r="N91" t="s">
        <v>392</v>
      </c>
    </row>
    <row r="92" spans="1:14" ht="11.25" customHeight="1">
      <c r="A92" t="s">
        <v>2191</v>
      </c>
      <c r="B92" t="s">
        <v>14</v>
      </c>
      <c r="C92" t="s">
        <v>2510</v>
      </c>
      <c r="D92" t="s">
        <v>2511</v>
      </c>
      <c r="E92" t="s">
        <v>2512</v>
      </c>
      <c r="F92" t="s">
        <v>2513</v>
      </c>
      <c r="G92" t="s">
        <v>17</v>
      </c>
      <c r="H92" t="s">
        <v>17</v>
      </c>
      <c r="I92" t="s">
        <v>2235</v>
      </c>
      <c r="J92" t="s">
        <v>17</v>
      </c>
      <c r="K92" t="s">
        <v>870</v>
      </c>
      <c r="L92" t="s">
        <v>2197</v>
      </c>
      <c r="M92" t="s">
        <v>2198</v>
      </c>
      <c r="N92" t="s">
        <v>392</v>
      </c>
    </row>
    <row r="93" spans="1:14" ht="11.25" customHeight="1">
      <c r="A93" t="s">
        <v>2191</v>
      </c>
      <c r="B93" t="s">
        <v>14</v>
      </c>
      <c r="C93" t="s">
        <v>2514</v>
      </c>
      <c r="D93" t="s">
        <v>2515</v>
      </c>
      <c r="E93" t="s">
        <v>2516</v>
      </c>
      <c r="F93" t="s">
        <v>2257</v>
      </c>
      <c r="G93" t="s">
        <v>17</v>
      </c>
      <c r="H93" t="s">
        <v>17</v>
      </c>
      <c r="I93" t="s">
        <v>2297</v>
      </c>
      <c r="J93" t="s">
        <v>17</v>
      </c>
      <c r="K93" t="s">
        <v>870</v>
      </c>
      <c r="L93" t="s">
        <v>2197</v>
      </c>
      <c r="M93" t="s">
        <v>2198</v>
      </c>
      <c r="N93" t="s">
        <v>392</v>
      </c>
    </row>
    <row r="94" spans="1:14" ht="11.25" customHeight="1">
      <c r="A94" t="s">
        <v>2191</v>
      </c>
      <c r="B94" t="s">
        <v>14</v>
      </c>
      <c r="C94" t="s">
        <v>2517</v>
      </c>
      <c r="D94" t="s">
        <v>2518</v>
      </c>
      <c r="E94" t="s">
        <v>2519</v>
      </c>
      <c r="F94" t="s">
        <v>2364</v>
      </c>
      <c r="G94" t="s">
        <v>17</v>
      </c>
      <c r="H94" t="s">
        <v>17</v>
      </c>
      <c r="I94" t="s">
        <v>2297</v>
      </c>
      <c r="J94" t="s">
        <v>17</v>
      </c>
      <c r="K94" t="s">
        <v>870</v>
      </c>
      <c r="L94" t="s">
        <v>2197</v>
      </c>
      <c r="M94" t="s">
        <v>2198</v>
      </c>
      <c r="N94" t="s">
        <v>392</v>
      </c>
    </row>
    <row r="95" spans="1:14" ht="11.25" customHeight="1">
      <c r="A95" t="s">
        <v>2191</v>
      </c>
      <c r="B95" t="s">
        <v>14</v>
      </c>
      <c r="C95" t="s">
        <v>2520</v>
      </c>
      <c r="D95" t="s">
        <v>2521</v>
      </c>
      <c r="E95" t="s">
        <v>2522</v>
      </c>
      <c r="F95" t="s">
        <v>2513</v>
      </c>
      <c r="G95" t="s">
        <v>17</v>
      </c>
      <c r="H95" t="s">
        <v>17</v>
      </c>
      <c r="I95" t="s">
        <v>2235</v>
      </c>
      <c r="J95" t="s">
        <v>17</v>
      </c>
      <c r="K95" t="s">
        <v>775</v>
      </c>
      <c r="L95" t="s">
        <v>2220</v>
      </c>
      <c r="M95" t="s">
        <v>2221</v>
      </c>
      <c r="N95" t="s">
        <v>392</v>
      </c>
    </row>
    <row r="96" spans="1:14" ht="11.25" customHeight="1">
      <c r="A96" t="s">
        <v>2191</v>
      </c>
      <c r="B96" t="s">
        <v>14</v>
      </c>
      <c r="C96" t="s">
        <v>2523</v>
      </c>
      <c r="D96" t="s">
        <v>2524</v>
      </c>
      <c r="E96" t="s">
        <v>2525</v>
      </c>
      <c r="F96" t="s">
        <v>2248</v>
      </c>
      <c r="G96" t="s">
        <v>17</v>
      </c>
      <c r="H96" t="s">
        <v>17</v>
      </c>
      <c r="I96" t="s">
        <v>2526</v>
      </c>
      <c r="J96" t="s">
        <v>17</v>
      </c>
      <c r="K96" t="s">
        <v>870</v>
      </c>
      <c r="L96" t="s">
        <v>2197</v>
      </c>
      <c r="M96" t="s">
        <v>2198</v>
      </c>
      <c r="N96" t="s">
        <v>392</v>
      </c>
    </row>
    <row r="97" spans="1:14" ht="11.25" customHeight="1">
      <c r="A97" t="s">
        <v>2191</v>
      </c>
      <c r="B97" t="s">
        <v>14</v>
      </c>
      <c r="C97" t="s">
        <v>2527</v>
      </c>
      <c r="D97" t="s">
        <v>2528</v>
      </c>
      <c r="E97" t="s">
        <v>2529</v>
      </c>
      <c r="F97" t="s">
        <v>2530</v>
      </c>
      <c r="G97" t="s">
        <v>2531</v>
      </c>
      <c r="H97" t="s">
        <v>17</v>
      </c>
      <c r="I97" t="s">
        <v>2532</v>
      </c>
      <c r="J97" t="s">
        <v>17</v>
      </c>
      <c r="K97" t="s">
        <v>895</v>
      </c>
      <c r="L97" t="s">
        <v>2272</v>
      </c>
      <c r="M97" t="s">
        <v>2273</v>
      </c>
      <c r="N97" t="s">
        <v>392</v>
      </c>
    </row>
    <row r="98" spans="1:14" ht="11.25" customHeight="1">
      <c r="A98" t="s">
        <v>2191</v>
      </c>
      <c r="B98" t="s">
        <v>14</v>
      </c>
      <c r="C98" t="s">
        <v>2533</v>
      </c>
      <c r="D98" t="s">
        <v>2534</v>
      </c>
      <c r="E98" t="s">
        <v>2535</v>
      </c>
      <c r="F98" t="s">
        <v>2493</v>
      </c>
      <c r="G98" t="s">
        <v>17</v>
      </c>
      <c r="H98" t="s">
        <v>17</v>
      </c>
      <c r="I98" t="s">
        <v>2536</v>
      </c>
      <c r="J98" t="s">
        <v>17</v>
      </c>
      <c r="K98" t="s">
        <v>895</v>
      </c>
      <c r="L98" t="s">
        <v>2272</v>
      </c>
      <c r="M98" t="s">
        <v>2273</v>
      </c>
      <c r="N98" t="s">
        <v>392</v>
      </c>
    </row>
    <row r="99" spans="1:14" ht="11.25" customHeight="1">
      <c r="A99" t="s">
        <v>2191</v>
      </c>
      <c r="B99" t="s">
        <v>14</v>
      </c>
      <c r="C99" t="s">
        <v>2537</v>
      </c>
      <c r="D99" t="s">
        <v>2538</v>
      </c>
      <c r="E99" t="s">
        <v>2539</v>
      </c>
      <c r="F99" t="s">
        <v>2493</v>
      </c>
      <c r="G99" t="s">
        <v>17</v>
      </c>
      <c r="H99" t="s">
        <v>2536</v>
      </c>
      <c r="I99" t="s">
        <v>2319</v>
      </c>
      <c r="J99" t="s">
        <v>2536</v>
      </c>
      <c r="K99" t="s">
        <v>870</v>
      </c>
      <c r="L99" t="s">
        <v>2197</v>
      </c>
      <c r="M99" t="s">
        <v>2198</v>
      </c>
      <c r="N99" t="s">
        <v>392</v>
      </c>
    </row>
    <row r="100" spans="1:14" ht="11.25" customHeight="1">
      <c r="A100" t="s">
        <v>2191</v>
      </c>
      <c r="B100" t="s">
        <v>14</v>
      </c>
      <c r="C100" t="s">
        <v>2540</v>
      </c>
      <c r="D100" t="s">
        <v>2541</v>
      </c>
      <c r="E100" t="s">
        <v>2542</v>
      </c>
      <c r="F100" t="s">
        <v>2234</v>
      </c>
      <c r="G100" t="s">
        <v>17</v>
      </c>
      <c r="H100" t="s">
        <v>17</v>
      </c>
      <c r="I100" t="s">
        <v>2235</v>
      </c>
      <c r="J100" t="s">
        <v>17</v>
      </c>
      <c r="K100" t="s">
        <v>870</v>
      </c>
      <c r="L100" t="s">
        <v>2197</v>
      </c>
      <c r="M100" t="s">
        <v>2198</v>
      </c>
      <c r="N100" t="s">
        <v>392</v>
      </c>
    </row>
    <row r="101" spans="1:14" ht="11.25" customHeight="1">
      <c r="A101" t="s">
        <v>2191</v>
      </c>
      <c r="B101" t="s">
        <v>14</v>
      </c>
      <c r="C101" t="s">
        <v>2543</v>
      </c>
      <c r="D101" t="s">
        <v>2544</v>
      </c>
      <c r="E101" t="s">
        <v>2545</v>
      </c>
      <c r="F101" t="s">
        <v>2546</v>
      </c>
      <c r="G101" t="s">
        <v>17</v>
      </c>
      <c r="H101" t="s">
        <v>17</v>
      </c>
      <c r="I101" t="s">
        <v>2319</v>
      </c>
      <c r="J101" t="s">
        <v>17</v>
      </c>
      <c r="K101" t="s">
        <v>870</v>
      </c>
      <c r="L101" t="s">
        <v>2197</v>
      </c>
      <c r="M101" t="s">
        <v>2198</v>
      </c>
      <c r="N101" t="s">
        <v>392</v>
      </c>
    </row>
    <row r="102" spans="1:14" ht="11.25" customHeight="1">
      <c r="A102" t="s">
        <v>2191</v>
      </c>
      <c r="B102" t="s">
        <v>14</v>
      </c>
      <c r="C102" t="s">
        <v>2547</v>
      </c>
      <c r="D102" t="s">
        <v>2548</v>
      </c>
      <c r="E102" t="s">
        <v>2549</v>
      </c>
      <c r="F102" t="s">
        <v>2550</v>
      </c>
      <c r="G102" t="s">
        <v>17</v>
      </c>
      <c r="H102" t="s">
        <v>17</v>
      </c>
      <c r="I102" t="s">
        <v>2235</v>
      </c>
      <c r="J102" t="s">
        <v>17</v>
      </c>
      <c r="K102" t="s">
        <v>870</v>
      </c>
      <c r="L102" t="s">
        <v>2197</v>
      </c>
      <c r="M102" t="s">
        <v>2198</v>
      </c>
      <c r="N102" t="s">
        <v>392</v>
      </c>
    </row>
    <row r="103" spans="1:14" ht="11.25" customHeight="1">
      <c r="A103" t="s">
        <v>2191</v>
      </c>
      <c r="B103" t="s">
        <v>14</v>
      </c>
      <c r="C103" t="s">
        <v>2551</v>
      </c>
      <c r="D103" t="s">
        <v>2552</v>
      </c>
      <c r="E103" t="s">
        <v>2553</v>
      </c>
      <c r="F103" t="s">
        <v>2554</v>
      </c>
      <c r="G103" t="s">
        <v>17</v>
      </c>
      <c r="H103" t="s">
        <v>17</v>
      </c>
      <c r="I103" t="s">
        <v>2486</v>
      </c>
      <c r="J103" t="s">
        <v>17</v>
      </c>
      <c r="K103" t="s">
        <v>870</v>
      </c>
      <c r="L103" t="s">
        <v>2197</v>
      </c>
      <c r="M103" t="s">
        <v>2198</v>
      </c>
      <c r="N103" t="s">
        <v>392</v>
      </c>
    </row>
    <row r="104" spans="1:14" ht="11.25" customHeight="1">
      <c r="A104" t="s">
        <v>2191</v>
      </c>
      <c r="B104" t="s">
        <v>14</v>
      </c>
      <c r="C104" t="s">
        <v>2555</v>
      </c>
      <c r="D104" t="s">
        <v>2556</v>
      </c>
      <c r="E104" t="s">
        <v>2557</v>
      </c>
      <c r="F104" t="s">
        <v>2410</v>
      </c>
      <c r="G104" t="s">
        <v>17</v>
      </c>
      <c r="H104" t="s">
        <v>17</v>
      </c>
      <c r="I104" t="s">
        <v>2319</v>
      </c>
      <c r="J104" t="s">
        <v>17</v>
      </c>
      <c r="K104" t="s">
        <v>870</v>
      </c>
      <c r="L104" t="s">
        <v>2197</v>
      </c>
      <c r="M104" t="s">
        <v>2198</v>
      </c>
      <c r="N104" t="s">
        <v>392</v>
      </c>
    </row>
    <row r="105" spans="1:14" ht="11.25" customHeight="1">
      <c r="A105" t="s">
        <v>2191</v>
      </c>
      <c r="B105" t="s">
        <v>14</v>
      </c>
      <c r="C105" t="s">
        <v>2558</v>
      </c>
      <c r="D105" t="s">
        <v>2559</v>
      </c>
      <c r="E105" t="s">
        <v>2560</v>
      </c>
      <c r="F105" t="s">
        <v>2253</v>
      </c>
      <c r="G105" t="s">
        <v>17</v>
      </c>
      <c r="H105" t="s">
        <v>17</v>
      </c>
      <c r="I105" t="s">
        <v>2561</v>
      </c>
      <c r="J105" t="s">
        <v>17</v>
      </c>
      <c r="K105" t="s">
        <v>870</v>
      </c>
      <c r="L105" t="s">
        <v>2197</v>
      </c>
      <c r="M105" t="s">
        <v>2198</v>
      </c>
      <c r="N105" t="s">
        <v>392</v>
      </c>
    </row>
    <row r="106" spans="1:14" ht="11.25" customHeight="1">
      <c r="A106" t="s">
        <v>2191</v>
      </c>
      <c r="B106" t="s">
        <v>14</v>
      </c>
      <c r="C106" t="s">
        <v>2562</v>
      </c>
      <c r="D106" t="s">
        <v>2563</v>
      </c>
      <c r="E106" t="s">
        <v>2564</v>
      </c>
      <c r="F106" t="s">
        <v>2248</v>
      </c>
      <c r="G106" t="s">
        <v>17</v>
      </c>
      <c r="H106" t="s">
        <v>17</v>
      </c>
      <c r="I106" t="s">
        <v>2565</v>
      </c>
      <c r="J106" t="s">
        <v>17</v>
      </c>
      <c r="K106" t="s">
        <v>895</v>
      </c>
      <c r="L106" t="s">
        <v>2272</v>
      </c>
      <c r="M106" t="s">
        <v>2273</v>
      </c>
      <c r="N106" t="s">
        <v>392</v>
      </c>
    </row>
    <row r="107" spans="1:14" ht="11.25" customHeight="1">
      <c r="A107" t="s">
        <v>2191</v>
      </c>
      <c r="B107" t="s">
        <v>14</v>
      </c>
      <c r="C107" t="s">
        <v>2566</v>
      </c>
      <c r="D107" t="s">
        <v>2567</v>
      </c>
      <c r="E107" t="s">
        <v>2568</v>
      </c>
      <c r="F107" t="s">
        <v>2546</v>
      </c>
      <c r="G107" t="s">
        <v>17</v>
      </c>
      <c r="H107" t="s">
        <v>17</v>
      </c>
      <c r="I107" t="s">
        <v>2319</v>
      </c>
      <c r="J107" t="s">
        <v>17</v>
      </c>
      <c r="K107" t="s">
        <v>870</v>
      </c>
      <c r="L107" t="s">
        <v>2197</v>
      </c>
      <c r="M107" t="s">
        <v>2198</v>
      </c>
      <c r="N107" t="s">
        <v>392</v>
      </c>
    </row>
    <row r="108" spans="1:14" ht="11.25" customHeight="1">
      <c r="A108" t="s">
        <v>2191</v>
      </c>
      <c r="B108" t="s">
        <v>14</v>
      </c>
      <c r="C108" t="s">
        <v>2569</v>
      </c>
      <c r="D108" t="s">
        <v>2570</v>
      </c>
      <c r="E108" t="s">
        <v>2571</v>
      </c>
      <c r="F108" t="s">
        <v>2530</v>
      </c>
      <c r="G108" t="s">
        <v>17</v>
      </c>
      <c r="H108" t="s">
        <v>17</v>
      </c>
      <c r="I108" t="s">
        <v>2319</v>
      </c>
      <c r="J108" t="s">
        <v>17</v>
      </c>
      <c r="K108" t="s">
        <v>870</v>
      </c>
      <c r="L108" t="s">
        <v>2197</v>
      </c>
      <c r="M108" t="s">
        <v>2198</v>
      </c>
      <c r="N108" t="s">
        <v>392</v>
      </c>
    </row>
    <row r="109" spans="1:14" ht="11.25" customHeight="1">
      <c r="A109" t="s">
        <v>2191</v>
      </c>
      <c r="B109" t="s">
        <v>14</v>
      </c>
      <c r="C109" t="s">
        <v>2572</v>
      </c>
      <c r="D109" t="s">
        <v>2573</v>
      </c>
      <c r="E109" t="s">
        <v>2574</v>
      </c>
      <c r="F109" t="s">
        <v>2530</v>
      </c>
      <c r="G109" t="s">
        <v>17</v>
      </c>
      <c r="H109" t="s">
        <v>17</v>
      </c>
      <c r="I109" t="s">
        <v>2319</v>
      </c>
      <c r="J109" t="s">
        <v>17</v>
      </c>
      <c r="K109" t="s">
        <v>870</v>
      </c>
      <c r="L109" t="s">
        <v>2197</v>
      </c>
      <c r="M109" t="s">
        <v>2198</v>
      </c>
      <c r="N109" t="s">
        <v>392</v>
      </c>
    </row>
    <row r="110" spans="1:14" ht="11.25" customHeight="1">
      <c r="A110" t="s">
        <v>2191</v>
      </c>
      <c r="B110" t="s">
        <v>14</v>
      </c>
      <c r="C110" t="s">
        <v>2575</v>
      </c>
      <c r="D110" t="s">
        <v>2576</v>
      </c>
      <c r="E110" t="s">
        <v>2577</v>
      </c>
      <c r="F110" t="s">
        <v>2530</v>
      </c>
      <c r="G110" t="s">
        <v>17</v>
      </c>
      <c r="H110" t="s">
        <v>17</v>
      </c>
      <c r="I110" t="s">
        <v>2319</v>
      </c>
      <c r="J110" t="s">
        <v>17</v>
      </c>
      <c r="K110" t="s">
        <v>870</v>
      </c>
      <c r="L110" t="s">
        <v>2197</v>
      </c>
      <c r="M110" t="s">
        <v>2198</v>
      </c>
      <c r="N110" t="s">
        <v>392</v>
      </c>
    </row>
    <row r="111" spans="1:14" ht="11.25" customHeight="1">
      <c r="A111" t="s">
        <v>2191</v>
      </c>
      <c r="B111" t="s">
        <v>14</v>
      </c>
      <c r="C111" t="s">
        <v>2578</v>
      </c>
      <c r="D111" t="s">
        <v>2579</v>
      </c>
      <c r="E111" t="s">
        <v>2580</v>
      </c>
      <c r="F111" t="s">
        <v>2530</v>
      </c>
      <c r="G111" t="s">
        <v>17</v>
      </c>
      <c r="H111" t="s">
        <v>17</v>
      </c>
      <c r="I111" t="s">
        <v>2319</v>
      </c>
      <c r="J111" t="s">
        <v>17</v>
      </c>
      <c r="K111" t="s">
        <v>870</v>
      </c>
      <c r="L111" t="s">
        <v>2197</v>
      </c>
      <c r="M111" t="s">
        <v>2198</v>
      </c>
      <c r="N111" t="s">
        <v>392</v>
      </c>
    </row>
    <row r="112" spans="1:14" ht="11.25" customHeight="1">
      <c r="A112" t="s">
        <v>2191</v>
      </c>
      <c r="B112" t="s">
        <v>14</v>
      </c>
      <c r="C112" t="s">
        <v>2581</v>
      </c>
      <c r="D112" t="s">
        <v>2582</v>
      </c>
      <c r="E112" t="s">
        <v>2583</v>
      </c>
      <c r="F112" t="s">
        <v>2530</v>
      </c>
      <c r="G112" t="s">
        <v>17</v>
      </c>
      <c r="H112" t="s">
        <v>17</v>
      </c>
      <c r="I112" t="s">
        <v>2319</v>
      </c>
      <c r="J112" t="s">
        <v>17</v>
      </c>
      <c r="K112" t="s">
        <v>870</v>
      </c>
      <c r="L112" t="s">
        <v>2197</v>
      </c>
      <c r="M112" t="s">
        <v>2198</v>
      </c>
      <c r="N112" t="s">
        <v>392</v>
      </c>
    </row>
    <row r="113" spans="1:14" ht="11.25" customHeight="1">
      <c r="A113" t="s">
        <v>2191</v>
      </c>
      <c r="B113" t="s">
        <v>14</v>
      </c>
      <c r="C113" t="s">
        <v>2584</v>
      </c>
      <c r="D113" t="s">
        <v>2585</v>
      </c>
      <c r="E113" t="s">
        <v>2586</v>
      </c>
      <c r="F113" t="s">
        <v>2530</v>
      </c>
      <c r="G113" t="s">
        <v>17</v>
      </c>
      <c r="H113" t="s">
        <v>17</v>
      </c>
      <c r="I113" t="s">
        <v>2319</v>
      </c>
      <c r="J113" t="s">
        <v>17</v>
      </c>
      <c r="K113" t="s">
        <v>870</v>
      </c>
      <c r="L113" t="s">
        <v>2197</v>
      </c>
      <c r="M113" t="s">
        <v>2198</v>
      </c>
      <c r="N113" t="s">
        <v>392</v>
      </c>
    </row>
    <row r="114" spans="1:14" ht="11.25" customHeight="1">
      <c r="A114" t="s">
        <v>2191</v>
      </c>
      <c r="B114" t="s">
        <v>14</v>
      </c>
      <c r="C114" t="s">
        <v>2587</v>
      </c>
      <c r="D114" t="s">
        <v>2588</v>
      </c>
      <c r="E114" t="s">
        <v>2589</v>
      </c>
      <c r="F114" t="s">
        <v>2590</v>
      </c>
      <c r="G114" t="s">
        <v>17</v>
      </c>
      <c r="H114" t="s">
        <v>17</v>
      </c>
      <c r="I114" t="s">
        <v>2235</v>
      </c>
      <c r="J114" t="s">
        <v>17</v>
      </c>
      <c r="K114" t="s">
        <v>870</v>
      </c>
      <c r="L114" t="s">
        <v>2197</v>
      </c>
      <c r="M114" t="s">
        <v>2198</v>
      </c>
      <c r="N114" t="s">
        <v>392</v>
      </c>
    </row>
    <row r="115" spans="1:14" ht="11.25" customHeight="1">
      <c r="A115" t="s">
        <v>2191</v>
      </c>
      <c r="B115" t="s">
        <v>14</v>
      </c>
      <c r="C115" t="s">
        <v>2591</v>
      </c>
      <c r="D115" t="s">
        <v>2592</v>
      </c>
      <c r="E115" t="s">
        <v>2593</v>
      </c>
      <c r="F115" t="s">
        <v>2530</v>
      </c>
      <c r="G115" t="s">
        <v>17</v>
      </c>
      <c r="H115" t="s">
        <v>17</v>
      </c>
      <c r="I115" t="s">
        <v>2319</v>
      </c>
      <c r="J115" t="s">
        <v>17</v>
      </c>
      <c r="K115" t="s">
        <v>870</v>
      </c>
      <c r="L115" t="s">
        <v>2197</v>
      </c>
      <c r="M115" t="s">
        <v>2198</v>
      </c>
      <c r="N115" t="s">
        <v>392</v>
      </c>
    </row>
    <row r="116" spans="1:14" ht="11.25" customHeight="1">
      <c r="A116" t="s">
        <v>2191</v>
      </c>
      <c r="B116" t="s">
        <v>14</v>
      </c>
      <c r="C116" t="s">
        <v>2594</v>
      </c>
      <c r="D116" t="s">
        <v>2595</v>
      </c>
      <c r="E116" t="s">
        <v>2596</v>
      </c>
      <c r="F116" t="s">
        <v>2530</v>
      </c>
      <c r="G116" t="s">
        <v>17</v>
      </c>
      <c r="H116" t="s">
        <v>17</v>
      </c>
      <c r="I116" t="s">
        <v>2319</v>
      </c>
      <c r="J116" t="s">
        <v>17</v>
      </c>
      <c r="K116" t="s">
        <v>870</v>
      </c>
      <c r="L116" t="s">
        <v>2197</v>
      </c>
      <c r="M116" t="s">
        <v>2198</v>
      </c>
      <c r="N116" t="s">
        <v>392</v>
      </c>
    </row>
    <row r="117" spans="1:14" ht="11.25" customHeight="1">
      <c r="A117" t="s">
        <v>2191</v>
      </c>
      <c r="B117" t="s">
        <v>14</v>
      </c>
      <c r="C117" t="s">
        <v>2597</v>
      </c>
      <c r="D117" t="s">
        <v>2598</v>
      </c>
      <c r="E117" t="s">
        <v>2599</v>
      </c>
      <c r="F117" t="s">
        <v>2600</v>
      </c>
      <c r="G117" t="s">
        <v>17</v>
      </c>
      <c r="H117" t="s">
        <v>17</v>
      </c>
      <c r="I117" t="s">
        <v>2319</v>
      </c>
      <c r="J117" t="s">
        <v>17</v>
      </c>
      <c r="K117" t="s">
        <v>895</v>
      </c>
      <c r="L117" t="s">
        <v>2272</v>
      </c>
      <c r="M117" t="s">
        <v>2273</v>
      </c>
      <c r="N117" t="s">
        <v>392</v>
      </c>
    </row>
    <row r="118" spans="1:14" ht="11.25" customHeight="1">
      <c r="A118" t="s">
        <v>2191</v>
      </c>
      <c r="B118" t="s">
        <v>14</v>
      </c>
      <c r="C118" t="s">
        <v>2601</v>
      </c>
      <c r="D118" t="s">
        <v>2602</v>
      </c>
      <c r="E118" t="s">
        <v>2603</v>
      </c>
      <c r="F118" t="s">
        <v>2398</v>
      </c>
      <c r="G118" t="s">
        <v>17</v>
      </c>
      <c r="H118" t="s">
        <v>17</v>
      </c>
      <c r="I118" t="s">
        <v>2561</v>
      </c>
      <c r="J118" t="s">
        <v>17</v>
      </c>
      <c r="K118" t="s">
        <v>870</v>
      </c>
      <c r="L118" t="s">
        <v>2197</v>
      </c>
      <c r="M118" t="s">
        <v>2198</v>
      </c>
      <c r="N118" t="s">
        <v>392</v>
      </c>
    </row>
    <row r="119" spans="1:14" ht="11.25" customHeight="1">
      <c r="A119" t="s">
        <v>2191</v>
      </c>
      <c r="B119" t="s">
        <v>14</v>
      </c>
      <c r="C119" t="s">
        <v>2604</v>
      </c>
      <c r="D119" t="s">
        <v>2605</v>
      </c>
      <c r="E119" t="s">
        <v>2606</v>
      </c>
      <c r="F119" t="s">
        <v>2607</v>
      </c>
      <c r="G119" t="s">
        <v>17</v>
      </c>
      <c r="H119" t="s">
        <v>17</v>
      </c>
      <c r="I119" t="s">
        <v>2319</v>
      </c>
      <c r="J119" t="s">
        <v>17</v>
      </c>
      <c r="K119" t="s">
        <v>870</v>
      </c>
      <c r="L119" t="s">
        <v>2197</v>
      </c>
      <c r="M119" t="s">
        <v>2198</v>
      </c>
      <c r="N119" t="s">
        <v>392</v>
      </c>
    </row>
    <row r="120" spans="1:14" ht="11.25" customHeight="1">
      <c r="A120" t="s">
        <v>2191</v>
      </c>
      <c r="B120" t="s">
        <v>14</v>
      </c>
      <c r="C120" t="s">
        <v>2608</v>
      </c>
      <c r="D120" t="s">
        <v>2609</v>
      </c>
      <c r="E120" t="s">
        <v>2610</v>
      </c>
      <c r="F120" t="s">
        <v>2234</v>
      </c>
      <c r="G120" t="s">
        <v>17</v>
      </c>
      <c r="H120" t="s">
        <v>17</v>
      </c>
      <c r="I120" t="s">
        <v>2235</v>
      </c>
      <c r="J120" t="s">
        <v>17</v>
      </c>
      <c r="K120" t="s">
        <v>870</v>
      </c>
      <c r="L120" t="s">
        <v>2197</v>
      </c>
      <c r="M120" t="s">
        <v>2198</v>
      </c>
      <c r="N120" t="s">
        <v>392</v>
      </c>
    </row>
    <row r="121" spans="1:14" ht="11.25" customHeight="1">
      <c r="A121" t="s">
        <v>2191</v>
      </c>
      <c r="B121" t="s">
        <v>14</v>
      </c>
      <c r="C121" t="s">
        <v>2611</v>
      </c>
      <c r="D121" t="s">
        <v>2612</v>
      </c>
      <c r="E121" t="s">
        <v>2613</v>
      </c>
      <c r="F121" t="s">
        <v>2607</v>
      </c>
      <c r="G121" t="s">
        <v>17</v>
      </c>
      <c r="H121" t="s">
        <v>17</v>
      </c>
      <c r="I121" t="s">
        <v>2319</v>
      </c>
      <c r="J121" t="s">
        <v>17</v>
      </c>
      <c r="K121" t="s">
        <v>870</v>
      </c>
      <c r="L121" t="s">
        <v>2197</v>
      </c>
      <c r="M121" t="s">
        <v>2198</v>
      </c>
      <c r="N121" t="s">
        <v>392</v>
      </c>
    </row>
    <row r="122" spans="1:14" ht="11.25" customHeight="1">
      <c r="A122" t="s">
        <v>2191</v>
      </c>
      <c r="B122" t="s">
        <v>14</v>
      </c>
      <c r="C122" t="s">
        <v>2614</v>
      </c>
      <c r="D122" t="s">
        <v>2615</v>
      </c>
      <c r="E122" t="s">
        <v>2616</v>
      </c>
      <c r="F122" t="s">
        <v>2590</v>
      </c>
      <c r="G122" t="s">
        <v>17</v>
      </c>
      <c r="H122" t="s">
        <v>17</v>
      </c>
      <c r="I122" t="s">
        <v>2235</v>
      </c>
      <c r="J122" t="s">
        <v>17</v>
      </c>
      <c r="K122" t="s">
        <v>870</v>
      </c>
      <c r="L122" t="s">
        <v>2197</v>
      </c>
      <c r="M122" t="s">
        <v>2198</v>
      </c>
      <c r="N122" t="s">
        <v>392</v>
      </c>
    </row>
    <row r="123" spans="1:14" ht="11.25" customHeight="1">
      <c r="A123" t="s">
        <v>2191</v>
      </c>
      <c r="B123" t="s">
        <v>14</v>
      </c>
      <c r="C123" t="s">
        <v>2617</v>
      </c>
      <c r="D123" t="s">
        <v>2618</v>
      </c>
      <c r="E123" t="s">
        <v>2619</v>
      </c>
      <c r="F123" t="s">
        <v>2234</v>
      </c>
      <c r="G123" t="s">
        <v>17</v>
      </c>
      <c r="H123" t="s">
        <v>17</v>
      </c>
      <c r="I123" t="s">
        <v>2235</v>
      </c>
      <c r="J123" t="s">
        <v>17</v>
      </c>
      <c r="K123" t="s">
        <v>870</v>
      </c>
      <c r="L123" t="s">
        <v>2197</v>
      </c>
      <c r="M123" t="s">
        <v>2198</v>
      </c>
      <c r="N123" t="s">
        <v>392</v>
      </c>
    </row>
    <row r="124" spans="1:14" ht="11.25" customHeight="1">
      <c r="A124" t="s">
        <v>2191</v>
      </c>
      <c r="B124" t="s">
        <v>14</v>
      </c>
      <c r="C124" t="s">
        <v>2620</v>
      </c>
      <c r="D124" t="s">
        <v>2621</v>
      </c>
      <c r="E124" t="s">
        <v>2622</v>
      </c>
      <c r="F124" t="s">
        <v>2234</v>
      </c>
      <c r="G124" t="s">
        <v>17</v>
      </c>
      <c r="H124" t="s">
        <v>17</v>
      </c>
      <c r="I124" t="s">
        <v>2235</v>
      </c>
      <c r="J124" t="s">
        <v>17</v>
      </c>
      <c r="K124" t="s">
        <v>870</v>
      </c>
      <c r="L124" t="s">
        <v>2197</v>
      </c>
      <c r="M124" t="s">
        <v>2198</v>
      </c>
      <c r="N124" t="s">
        <v>392</v>
      </c>
    </row>
    <row r="125" spans="1:14" ht="11.25" customHeight="1">
      <c r="A125" t="s">
        <v>2191</v>
      </c>
      <c r="B125" t="s">
        <v>14</v>
      </c>
      <c r="C125" t="s">
        <v>2623</v>
      </c>
      <c r="D125" t="s">
        <v>2624</v>
      </c>
      <c r="E125" t="s">
        <v>2625</v>
      </c>
      <c r="F125" t="s">
        <v>2414</v>
      </c>
      <c r="G125" t="s">
        <v>17</v>
      </c>
      <c r="H125" t="s">
        <v>2626</v>
      </c>
      <c r="I125" t="s">
        <v>2319</v>
      </c>
      <c r="J125" t="s">
        <v>2626</v>
      </c>
      <c r="K125" t="s">
        <v>870</v>
      </c>
      <c r="L125" t="s">
        <v>2197</v>
      </c>
      <c r="M125" t="s">
        <v>2198</v>
      </c>
      <c r="N125" t="s">
        <v>392</v>
      </c>
    </row>
    <row r="126" spans="1:14" ht="11.25" customHeight="1">
      <c r="A126" t="s">
        <v>2191</v>
      </c>
      <c r="B126" t="s">
        <v>14</v>
      </c>
      <c r="C126" t="s">
        <v>2627</v>
      </c>
      <c r="D126" t="s">
        <v>2628</v>
      </c>
      <c r="E126" t="s">
        <v>2629</v>
      </c>
      <c r="F126" t="s">
        <v>2630</v>
      </c>
      <c r="G126" t="s">
        <v>17</v>
      </c>
      <c r="H126" t="s">
        <v>17</v>
      </c>
      <c r="I126" t="s">
        <v>2319</v>
      </c>
      <c r="J126" t="s">
        <v>17</v>
      </c>
      <c r="K126" t="s">
        <v>870</v>
      </c>
      <c r="L126" t="s">
        <v>2197</v>
      </c>
      <c r="M126" t="s">
        <v>2198</v>
      </c>
      <c r="N126" t="s">
        <v>392</v>
      </c>
    </row>
    <row r="127" spans="1:14" ht="11.25" customHeight="1">
      <c r="A127" t="s">
        <v>2191</v>
      </c>
      <c r="B127" t="s">
        <v>14</v>
      </c>
      <c r="C127" t="s">
        <v>2631</v>
      </c>
      <c r="D127" t="s">
        <v>2632</v>
      </c>
      <c r="E127" t="s">
        <v>2633</v>
      </c>
      <c r="F127" t="s">
        <v>2410</v>
      </c>
      <c r="G127" t="s">
        <v>17</v>
      </c>
      <c r="H127" t="s">
        <v>17</v>
      </c>
      <c r="I127" t="s">
        <v>2319</v>
      </c>
      <c r="J127" t="s">
        <v>17</v>
      </c>
      <c r="K127" t="s">
        <v>870</v>
      </c>
      <c r="L127" t="s">
        <v>2197</v>
      </c>
      <c r="M127" t="s">
        <v>2198</v>
      </c>
      <c r="N127" t="s">
        <v>392</v>
      </c>
    </row>
    <row r="128" spans="1:14" ht="11.25" customHeight="1">
      <c r="A128" t="s">
        <v>2191</v>
      </c>
      <c r="B128" t="s">
        <v>14</v>
      </c>
      <c r="C128" t="s">
        <v>2634</v>
      </c>
      <c r="D128" t="s">
        <v>2635</v>
      </c>
      <c r="E128" t="s">
        <v>2636</v>
      </c>
      <c r="F128" t="s">
        <v>2530</v>
      </c>
      <c r="G128" t="s">
        <v>17</v>
      </c>
      <c r="H128" t="s">
        <v>17</v>
      </c>
      <c r="I128" t="s">
        <v>2319</v>
      </c>
      <c r="J128" t="s">
        <v>17</v>
      </c>
      <c r="K128" t="s">
        <v>870</v>
      </c>
      <c r="L128" t="s">
        <v>2197</v>
      </c>
      <c r="M128" t="s">
        <v>2198</v>
      </c>
      <c r="N128" t="s">
        <v>392</v>
      </c>
    </row>
    <row r="129" spans="1:14" ht="11.25" customHeight="1">
      <c r="A129" t="s">
        <v>2191</v>
      </c>
      <c r="B129" t="s">
        <v>14</v>
      </c>
      <c r="C129" t="s">
        <v>2637</v>
      </c>
      <c r="D129" t="s">
        <v>2638</v>
      </c>
      <c r="E129" t="s">
        <v>2639</v>
      </c>
      <c r="F129" t="s">
        <v>2640</v>
      </c>
      <c r="G129" t="s">
        <v>17</v>
      </c>
      <c r="H129" t="s">
        <v>17</v>
      </c>
      <c r="I129" t="s">
        <v>2319</v>
      </c>
      <c r="J129" t="s">
        <v>17</v>
      </c>
      <c r="K129" t="s">
        <v>870</v>
      </c>
      <c r="L129" t="s">
        <v>2197</v>
      </c>
      <c r="M129" t="s">
        <v>2198</v>
      </c>
      <c r="N129" t="s">
        <v>392</v>
      </c>
    </row>
    <row r="130" spans="1:14" ht="11.25" customHeight="1">
      <c r="A130" t="s">
        <v>2191</v>
      </c>
      <c r="B130" t="s">
        <v>14</v>
      </c>
      <c r="C130" t="s">
        <v>2641</v>
      </c>
      <c r="D130" t="s">
        <v>2642</v>
      </c>
      <c r="E130" t="s">
        <v>2643</v>
      </c>
      <c r="F130" t="s">
        <v>2244</v>
      </c>
      <c r="G130" t="s">
        <v>17</v>
      </c>
      <c r="H130" t="s">
        <v>17</v>
      </c>
      <c r="I130" t="s">
        <v>2235</v>
      </c>
      <c r="J130" t="s">
        <v>17</v>
      </c>
      <c r="K130" t="s">
        <v>870</v>
      </c>
      <c r="L130" t="s">
        <v>2197</v>
      </c>
      <c r="M130" t="s">
        <v>2198</v>
      </c>
      <c r="N130" t="s">
        <v>392</v>
      </c>
    </row>
    <row r="131" spans="1:14" ht="11.25" customHeight="1">
      <c r="A131" t="s">
        <v>2191</v>
      </c>
      <c r="B131" t="s">
        <v>14</v>
      </c>
      <c r="C131" t="s">
        <v>2644</v>
      </c>
      <c r="D131" t="s">
        <v>2645</v>
      </c>
      <c r="E131" t="s">
        <v>2646</v>
      </c>
      <c r="F131" t="s">
        <v>2647</v>
      </c>
      <c r="G131" t="s">
        <v>17</v>
      </c>
      <c r="H131" t="s">
        <v>17</v>
      </c>
      <c r="I131" t="s">
        <v>2319</v>
      </c>
      <c r="J131" t="s">
        <v>17</v>
      </c>
      <c r="K131" t="s">
        <v>870</v>
      </c>
      <c r="L131" t="s">
        <v>2197</v>
      </c>
      <c r="M131" t="s">
        <v>2198</v>
      </c>
      <c r="N131" t="s">
        <v>392</v>
      </c>
    </row>
    <row r="132" spans="1:14" ht="11.25" customHeight="1">
      <c r="A132" t="s">
        <v>2191</v>
      </c>
      <c r="B132" t="s">
        <v>14</v>
      </c>
      <c r="C132" t="s">
        <v>2648</v>
      </c>
      <c r="D132" t="s">
        <v>2649</v>
      </c>
      <c r="E132" t="s">
        <v>2650</v>
      </c>
      <c r="F132" t="s">
        <v>2530</v>
      </c>
      <c r="G132" t="s">
        <v>17</v>
      </c>
      <c r="H132" t="s">
        <v>17</v>
      </c>
      <c r="I132" t="s">
        <v>2319</v>
      </c>
      <c r="J132" t="s">
        <v>17</v>
      </c>
      <c r="K132" t="s">
        <v>870</v>
      </c>
      <c r="L132" t="s">
        <v>2197</v>
      </c>
      <c r="M132" t="s">
        <v>2198</v>
      </c>
      <c r="N132" t="s">
        <v>392</v>
      </c>
    </row>
    <row r="133" spans="1:14" ht="11.25" customHeight="1">
      <c r="A133" t="s">
        <v>2191</v>
      </c>
      <c r="B133" t="s">
        <v>14</v>
      </c>
      <c r="C133" t="s">
        <v>2651</v>
      </c>
      <c r="D133" t="s">
        <v>2652</v>
      </c>
      <c r="E133" t="s">
        <v>2653</v>
      </c>
      <c r="F133" t="s">
        <v>2546</v>
      </c>
      <c r="G133" t="s">
        <v>17</v>
      </c>
      <c r="H133" t="s">
        <v>17</v>
      </c>
      <c r="I133" t="s">
        <v>2319</v>
      </c>
      <c r="J133" t="s">
        <v>17</v>
      </c>
      <c r="K133" t="s">
        <v>870</v>
      </c>
      <c r="L133" t="s">
        <v>2197</v>
      </c>
      <c r="M133" t="s">
        <v>2198</v>
      </c>
      <c r="N133" t="s">
        <v>392</v>
      </c>
    </row>
    <row r="134" spans="1:14" ht="11.25" customHeight="1">
      <c r="A134" t="s">
        <v>2191</v>
      </c>
      <c r="B134" t="s">
        <v>14</v>
      </c>
      <c r="C134" t="s">
        <v>2654</v>
      </c>
      <c r="D134" t="s">
        <v>2655</v>
      </c>
      <c r="E134" t="s">
        <v>2656</v>
      </c>
      <c r="F134" t="s">
        <v>2657</v>
      </c>
      <c r="G134" t="s">
        <v>17</v>
      </c>
      <c r="H134" t="s">
        <v>17</v>
      </c>
      <c r="I134" t="s">
        <v>2319</v>
      </c>
      <c r="J134" t="s">
        <v>17</v>
      </c>
      <c r="K134" t="s">
        <v>870</v>
      </c>
      <c r="L134" t="s">
        <v>2197</v>
      </c>
      <c r="M134" t="s">
        <v>2198</v>
      </c>
      <c r="N134" t="s">
        <v>392</v>
      </c>
    </row>
    <row r="135" spans="1:14" ht="11.25" customHeight="1">
      <c r="A135" t="s">
        <v>2191</v>
      </c>
      <c r="B135" t="s">
        <v>14</v>
      </c>
      <c r="C135" t="s">
        <v>2658</v>
      </c>
      <c r="D135" t="s">
        <v>2659</v>
      </c>
      <c r="E135" t="s">
        <v>2660</v>
      </c>
      <c r="F135" t="s">
        <v>2661</v>
      </c>
      <c r="G135" t="s">
        <v>17</v>
      </c>
      <c r="H135" t="s">
        <v>17</v>
      </c>
      <c r="I135" t="s">
        <v>2319</v>
      </c>
      <c r="J135" t="s">
        <v>17</v>
      </c>
      <c r="K135" t="s">
        <v>870</v>
      </c>
      <c r="L135" t="s">
        <v>2197</v>
      </c>
      <c r="M135" t="s">
        <v>2198</v>
      </c>
      <c r="N135" t="s">
        <v>392</v>
      </c>
    </row>
    <row r="136" spans="1:14" ht="11.25" customHeight="1">
      <c r="A136" t="s">
        <v>2191</v>
      </c>
      <c r="B136" t="s">
        <v>14</v>
      </c>
      <c r="C136" t="s">
        <v>2662</v>
      </c>
      <c r="D136" t="s">
        <v>2663</v>
      </c>
      <c r="E136" t="s">
        <v>2664</v>
      </c>
      <c r="F136" t="s">
        <v>2253</v>
      </c>
      <c r="G136" t="s">
        <v>17</v>
      </c>
      <c r="H136" t="s">
        <v>17</v>
      </c>
      <c r="I136" t="s">
        <v>2665</v>
      </c>
      <c r="J136" t="s">
        <v>17</v>
      </c>
      <c r="K136" t="s">
        <v>870</v>
      </c>
      <c r="L136" t="s">
        <v>2197</v>
      </c>
      <c r="M136" t="s">
        <v>2198</v>
      </c>
      <c r="N136" t="s">
        <v>392</v>
      </c>
    </row>
    <row r="137" spans="1:14" ht="11.25" customHeight="1">
      <c r="A137" t="s">
        <v>2191</v>
      </c>
      <c r="B137" t="s">
        <v>14</v>
      </c>
      <c r="C137" t="s">
        <v>2666</v>
      </c>
      <c r="D137" t="s">
        <v>2667</v>
      </c>
      <c r="E137" t="s">
        <v>2668</v>
      </c>
      <c r="F137" t="s">
        <v>2402</v>
      </c>
      <c r="G137" t="s">
        <v>17</v>
      </c>
      <c r="H137" t="s">
        <v>17</v>
      </c>
      <c r="I137" t="s">
        <v>2669</v>
      </c>
      <c r="J137" t="s">
        <v>17</v>
      </c>
      <c r="K137" t="s">
        <v>870</v>
      </c>
      <c r="L137" t="s">
        <v>2197</v>
      </c>
      <c r="M137" t="s">
        <v>2198</v>
      </c>
      <c r="N137" t="s">
        <v>392</v>
      </c>
    </row>
    <row r="138" spans="1:14" ht="11.25" customHeight="1">
      <c r="A138" t="s">
        <v>2191</v>
      </c>
      <c r="B138" t="s">
        <v>14</v>
      </c>
      <c r="C138" t="s">
        <v>2670</v>
      </c>
      <c r="D138" t="s">
        <v>2671</v>
      </c>
      <c r="E138" t="s">
        <v>2672</v>
      </c>
      <c r="F138" t="s">
        <v>2451</v>
      </c>
      <c r="G138" t="s">
        <v>2673</v>
      </c>
      <c r="H138" t="s">
        <v>17</v>
      </c>
      <c r="I138" t="s">
        <v>2319</v>
      </c>
      <c r="J138" t="s">
        <v>17</v>
      </c>
      <c r="K138" t="s">
        <v>870</v>
      </c>
      <c r="L138" t="s">
        <v>2197</v>
      </c>
      <c r="M138" t="s">
        <v>2198</v>
      </c>
      <c r="N138" t="s">
        <v>392</v>
      </c>
    </row>
    <row r="139" spans="1:14" ht="11.25" customHeight="1">
      <c r="A139" t="s">
        <v>2191</v>
      </c>
      <c r="B139" t="s">
        <v>14</v>
      </c>
      <c r="C139" t="s">
        <v>2674</v>
      </c>
      <c r="D139" t="s">
        <v>2675</v>
      </c>
      <c r="E139" t="s">
        <v>2676</v>
      </c>
      <c r="F139" t="s">
        <v>2677</v>
      </c>
      <c r="G139" t="s">
        <v>17</v>
      </c>
      <c r="H139" t="s">
        <v>17</v>
      </c>
      <c r="I139" t="s">
        <v>2297</v>
      </c>
      <c r="J139" t="s">
        <v>17</v>
      </c>
      <c r="K139" t="s">
        <v>870</v>
      </c>
      <c r="L139" t="s">
        <v>2197</v>
      </c>
      <c r="M139" t="s">
        <v>2198</v>
      </c>
      <c r="N139" t="s">
        <v>392</v>
      </c>
    </row>
    <row r="140" spans="1:14" ht="11.25" customHeight="1">
      <c r="A140" t="s">
        <v>2191</v>
      </c>
      <c r="B140" t="s">
        <v>14</v>
      </c>
      <c r="C140" t="s">
        <v>2678</v>
      </c>
      <c r="D140" t="s">
        <v>2679</v>
      </c>
      <c r="E140" t="s">
        <v>2680</v>
      </c>
      <c r="F140" t="s">
        <v>2410</v>
      </c>
      <c r="G140" t="s">
        <v>17</v>
      </c>
      <c r="H140" t="s">
        <v>17</v>
      </c>
      <c r="I140" t="s">
        <v>2319</v>
      </c>
      <c r="J140" t="s">
        <v>17</v>
      </c>
      <c r="K140" t="s">
        <v>895</v>
      </c>
      <c r="L140" t="s">
        <v>2272</v>
      </c>
      <c r="M140" t="s">
        <v>2273</v>
      </c>
      <c r="N140" t="s">
        <v>392</v>
      </c>
    </row>
    <row r="141" spans="1:14" ht="11.25" customHeight="1">
      <c r="A141" t="s">
        <v>2191</v>
      </c>
      <c r="B141" t="s">
        <v>14</v>
      </c>
      <c r="C141" t="s">
        <v>2681</v>
      </c>
      <c r="D141" t="s">
        <v>2682</v>
      </c>
      <c r="E141" t="s">
        <v>2683</v>
      </c>
      <c r="F141" t="s">
        <v>2684</v>
      </c>
      <c r="G141" t="s">
        <v>17</v>
      </c>
      <c r="H141" t="s">
        <v>17</v>
      </c>
      <c r="I141" t="s">
        <v>2319</v>
      </c>
      <c r="J141" t="s">
        <v>17</v>
      </c>
      <c r="K141" t="s">
        <v>870</v>
      </c>
      <c r="L141" t="s">
        <v>2197</v>
      </c>
      <c r="M141" t="s">
        <v>2198</v>
      </c>
      <c r="N141" t="s">
        <v>392</v>
      </c>
    </row>
    <row r="142" spans="1:14" ht="11.25" customHeight="1">
      <c r="A142" t="s">
        <v>2191</v>
      </c>
      <c r="B142" t="s">
        <v>14</v>
      </c>
      <c r="C142" t="s">
        <v>2685</v>
      </c>
      <c r="D142" t="s">
        <v>2686</v>
      </c>
      <c r="E142" t="s">
        <v>2687</v>
      </c>
      <c r="F142" t="s">
        <v>2447</v>
      </c>
      <c r="G142" t="s">
        <v>17</v>
      </c>
      <c r="H142" t="s">
        <v>17</v>
      </c>
      <c r="I142" t="s">
        <v>2319</v>
      </c>
      <c r="J142" t="s">
        <v>17</v>
      </c>
      <c r="K142" t="s">
        <v>870</v>
      </c>
      <c r="L142" t="s">
        <v>2197</v>
      </c>
      <c r="M142" t="s">
        <v>2198</v>
      </c>
      <c r="N142" t="s">
        <v>392</v>
      </c>
    </row>
    <row r="143" spans="1:14" ht="11.25" customHeight="1">
      <c r="A143" t="s">
        <v>2191</v>
      </c>
      <c r="B143" t="s">
        <v>14</v>
      </c>
      <c r="C143" t="s">
        <v>2688</v>
      </c>
      <c r="D143" t="s">
        <v>2689</v>
      </c>
      <c r="E143" t="s">
        <v>2690</v>
      </c>
      <c r="F143" t="s">
        <v>2691</v>
      </c>
      <c r="G143" t="s">
        <v>17</v>
      </c>
      <c r="H143" t="s">
        <v>17</v>
      </c>
      <c r="I143" t="s">
        <v>2319</v>
      </c>
      <c r="J143" t="s">
        <v>17</v>
      </c>
      <c r="K143" t="s">
        <v>870</v>
      </c>
      <c r="L143" t="s">
        <v>2197</v>
      </c>
      <c r="M143" t="s">
        <v>2198</v>
      </c>
      <c r="N143" t="s">
        <v>392</v>
      </c>
    </row>
    <row r="144" spans="1:14" ht="11.25" customHeight="1">
      <c r="A144" t="s">
        <v>2191</v>
      </c>
      <c r="B144" t="s">
        <v>14</v>
      </c>
      <c r="C144" t="s">
        <v>2692</v>
      </c>
      <c r="D144" t="s">
        <v>2693</v>
      </c>
      <c r="E144" t="s">
        <v>2694</v>
      </c>
      <c r="F144" t="s">
        <v>2414</v>
      </c>
      <c r="G144" t="s">
        <v>2695</v>
      </c>
      <c r="H144" t="s">
        <v>17</v>
      </c>
      <c r="I144" t="s">
        <v>2319</v>
      </c>
      <c r="J144" t="s">
        <v>17</v>
      </c>
      <c r="K144" t="s">
        <v>870</v>
      </c>
      <c r="L144" t="s">
        <v>2197</v>
      </c>
      <c r="M144" t="s">
        <v>2198</v>
      </c>
      <c r="N144" t="s">
        <v>392</v>
      </c>
    </row>
    <row r="145" spans="1:14" ht="11.25" customHeight="1">
      <c r="A145" t="s">
        <v>2191</v>
      </c>
      <c r="B145" t="s">
        <v>14</v>
      </c>
      <c r="C145" t="s">
        <v>2696</v>
      </c>
      <c r="D145" t="s">
        <v>2697</v>
      </c>
      <c r="E145" t="s">
        <v>2698</v>
      </c>
      <c r="F145" t="s">
        <v>2414</v>
      </c>
      <c r="G145" t="s">
        <v>17</v>
      </c>
      <c r="H145" t="s">
        <v>17</v>
      </c>
      <c r="I145" t="s">
        <v>2319</v>
      </c>
      <c r="J145" t="s">
        <v>17</v>
      </c>
      <c r="K145" t="s">
        <v>775</v>
      </c>
      <c r="L145" t="s">
        <v>2220</v>
      </c>
      <c r="M145" t="s">
        <v>2221</v>
      </c>
      <c r="N145" t="s">
        <v>392</v>
      </c>
    </row>
    <row r="146" spans="1:14" ht="11.25" customHeight="1">
      <c r="A146" t="s">
        <v>2191</v>
      </c>
      <c r="B146" t="s">
        <v>14</v>
      </c>
      <c r="C146" t="s">
        <v>2699</v>
      </c>
      <c r="D146" t="s">
        <v>2700</v>
      </c>
      <c r="E146" t="s">
        <v>2701</v>
      </c>
      <c r="F146" t="s">
        <v>2702</v>
      </c>
      <c r="G146" t="s">
        <v>17</v>
      </c>
      <c r="H146" t="s">
        <v>17</v>
      </c>
      <c r="I146" t="s">
        <v>2319</v>
      </c>
      <c r="J146" t="s">
        <v>17</v>
      </c>
      <c r="K146" t="s">
        <v>870</v>
      </c>
      <c r="L146" t="s">
        <v>2197</v>
      </c>
      <c r="M146" t="s">
        <v>2198</v>
      </c>
      <c r="N146" t="s">
        <v>392</v>
      </c>
    </row>
    <row r="147" spans="1:14" ht="11.25" customHeight="1">
      <c r="A147" t="s">
        <v>2191</v>
      </c>
      <c r="B147" t="s">
        <v>14</v>
      </c>
      <c r="C147" t="s">
        <v>2703</v>
      </c>
      <c r="D147" t="s">
        <v>2704</v>
      </c>
      <c r="E147" t="s">
        <v>2705</v>
      </c>
      <c r="F147" t="s">
        <v>2530</v>
      </c>
      <c r="G147" t="s">
        <v>17</v>
      </c>
      <c r="H147" t="s">
        <v>17</v>
      </c>
      <c r="I147" t="s">
        <v>2319</v>
      </c>
      <c r="J147" t="s">
        <v>17</v>
      </c>
      <c r="K147" t="s">
        <v>870</v>
      </c>
      <c r="L147" t="s">
        <v>2197</v>
      </c>
      <c r="M147" t="s">
        <v>2198</v>
      </c>
      <c r="N147" t="s">
        <v>392</v>
      </c>
    </row>
    <row r="148" spans="1:14" ht="11.25" customHeight="1">
      <c r="A148" t="s">
        <v>2191</v>
      </c>
      <c r="B148" t="s">
        <v>14</v>
      </c>
      <c r="C148" t="s">
        <v>2706</v>
      </c>
      <c r="D148" t="s">
        <v>2707</v>
      </c>
      <c r="E148" t="s">
        <v>2708</v>
      </c>
      <c r="F148" t="s">
        <v>2661</v>
      </c>
      <c r="G148" t="s">
        <v>17</v>
      </c>
      <c r="H148" t="s">
        <v>17</v>
      </c>
      <c r="I148" t="s">
        <v>2319</v>
      </c>
      <c r="J148" t="s">
        <v>17</v>
      </c>
      <c r="K148" t="s">
        <v>870</v>
      </c>
      <c r="L148" t="s">
        <v>2197</v>
      </c>
      <c r="M148" t="s">
        <v>2198</v>
      </c>
      <c r="N148" t="s">
        <v>392</v>
      </c>
    </row>
    <row r="149" spans="1:14" ht="11.25" customHeight="1">
      <c r="A149" t="s">
        <v>2191</v>
      </c>
      <c r="B149" t="s">
        <v>14</v>
      </c>
      <c r="C149" t="s">
        <v>2709</v>
      </c>
      <c r="D149" t="s">
        <v>2710</v>
      </c>
      <c r="E149" t="s">
        <v>2711</v>
      </c>
      <c r="F149" t="s">
        <v>2712</v>
      </c>
      <c r="G149" t="s">
        <v>17</v>
      </c>
      <c r="H149" t="s">
        <v>17</v>
      </c>
      <c r="I149" t="s">
        <v>2235</v>
      </c>
      <c r="J149" t="s">
        <v>17</v>
      </c>
      <c r="K149" t="s">
        <v>870</v>
      </c>
      <c r="L149" t="s">
        <v>2197</v>
      </c>
      <c r="M149" t="s">
        <v>2198</v>
      </c>
      <c r="N149" t="s">
        <v>392</v>
      </c>
    </row>
    <row r="150" spans="1:14" ht="11.25" customHeight="1">
      <c r="A150" t="s">
        <v>2191</v>
      </c>
      <c r="B150" t="s">
        <v>14</v>
      </c>
      <c r="C150" t="s">
        <v>2713</v>
      </c>
      <c r="D150" t="s">
        <v>2714</v>
      </c>
      <c r="E150" t="s">
        <v>2715</v>
      </c>
      <c r="F150" t="s">
        <v>2661</v>
      </c>
      <c r="G150" t="s">
        <v>17</v>
      </c>
      <c r="H150" t="s">
        <v>17</v>
      </c>
      <c r="I150" t="s">
        <v>2319</v>
      </c>
      <c r="J150" t="s">
        <v>17</v>
      </c>
      <c r="K150" t="s">
        <v>895</v>
      </c>
      <c r="L150" t="s">
        <v>2272</v>
      </c>
      <c r="M150" t="s">
        <v>2273</v>
      </c>
      <c r="N150" t="s">
        <v>392</v>
      </c>
    </row>
    <row r="151" spans="1:14" ht="11.25" customHeight="1">
      <c r="A151" t="s">
        <v>2191</v>
      </c>
      <c r="B151" t="s">
        <v>14</v>
      </c>
      <c r="C151" t="s">
        <v>2716</v>
      </c>
      <c r="D151" t="s">
        <v>2717</v>
      </c>
      <c r="E151" t="s">
        <v>2718</v>
      </c>
      <c r="F151" t="s">
        <v>2211</v>
      </c>
      <c r="G151" t="s">
        <v>17</v>
      </c>
      <c r="H151" t="s">
        <v>17</v>
      </c>
      <c r="I151" t="s">
        <v>2196</v>
      </c>
      <c r="J151" t="s">
        <v>17</v>
      </c>
      <c r="K151" t="s">
        <v>870</v>
      </c>
      <c r="L151" t="s">
        <v>2197</v>
      </c>
      <c r="M151" t="s">
        <v>2198</v>
      </c>
      <c r="N151" t="s">
        <v>392</v>
      </c>
    </row>
    <row r="152" spans="1:14" ht="11.25" customHeight="1">
      <c r="A152" t="s">
        <v>2191</v>
      </c>
      <c r="B152" t="s">
        <v>14</v>
      </c>
      <c r="C152" t="s">
        <v>2719</v>
      </c>
      <c r="D152" t="s">
        <v>2720</v>
      </c>
      <c r="E152" t="s">
        <v>2721</v>
      </c>
      <c r="F152" t="s">
        <v>2467</v>
      </c>
      <c r="G152" t="s">
        <v>17</v>
      </c>
      <c r="H152" t="s">
        <v>17</v>
      </c>
      <c r="I152" t="s">
        <v>2722</v>
      </c>
      <c r="J152" t="s">
        <v>17</v>
      </c>
      <c r="K152" t="s">
        <v>870</v>
      </c>
      <c r="L152" t="s">
        <v>2197</v>
      </c>
      <c r="M152" t="s">
        <v>2198</v>
      </c>
      <c r="N152" t="s">
        <v>392</v>
      </c>
    </row>
    <row r="153" spans="1:14" ht="11.25" customHeight="1">
      <c r="A153" t="s">
        <v>2191</v>
      </c>
      <c r="B153" t="s">
        <v>14</v>
      </c>
      <c r="C153" t="s">
        <v>2723</v>
      </c>
      <c r="D153" t="s">
        <v>2724</v>
      </c>
      <c r="E153" t="s">
        <v>2725</v>
      </c>
      <c r="F153" t="s">
        <v>2726</v>
      </c>
      <c r="G153" t="s">
        <v>17</v>
      </c>
      <c r="H153" t="s">
        <v>17</v>
      </c>
      <c r="I153" t="s">
        <v>2434</v>
      </c>
      <c r="J153" t="s">
        <v>17</v>
      </c>
      <c r="K153" t="s">
        <v>870</v>
      </c>
      <c r="L153" t="s">
        <v>2197</v>
      </c>
      <c r="M153" t="s">
        <v>2198</v>
      </c>
      <c r="N153" t="s">
        <v>392</v>
      </c>
    </row>
    <row r="154" spans="1:14" ht="11.25" customHeight="1">
      <c r="A154" t="s">
        <v>2191</v>
      </c>
      <c r="B154" t="s">
        <v>14</v>
      </c>
      <c r="C154" t="s">
        <v>2727</v>
      </c>
      <c r="D154" t="s">
        <v>2728</v>
      </c>
      <c r="E154" t="s">
        <v>2725</v>
      </c>
      <c r="F154" t="s">
        <v>2729</v>
      </c>
      <c r="G154" t="s">
        <v>17</v>
      </c>
      <c r="H154" t="s">
        <v>17</v>
      </c>
      <c r="I154" t="s">
        <v>2434</v>
      </c>
      <c r="J154" t="s">
        <v>17</v>
      </c>
      <c r="K154" t="s">
        <v>870</v>
      </c>
      <c r="L154" t="s">
        <v>2197</v>
      </c>
      <c r="M154" t="s">
        <v>2198</v>
      </c>
      <c r="N154" t="s">
        <v>392</v>
      </c>
    </row>
    <row r="155" spans="1:14" ht="11.25" customHeight="1">
      <c r="A155" t="s">
        <v>2191</v>
      </c>
      <c r="B155" t="s">
        <v>14</v>
      </c>
      <c r="C155" t="s">
        <v>2730</v>
      </c>
      <c r="D155" t="s">
        <v>2731</v>
      </c>
      <c r="E155" t="s">
        <v>2732</v>
      </c>
      <c r="F155" t="s">
        <v>2467</v>
      </c>
      <c r="G155" t="s">
        <v>17</v>
      </c>
      <c r="H155" t="s">
        <v>17</v>
      </c>
      <c r="I155" t="s">
        <v>2196</v>
      </c>
      <c r="J155" t="s">
        <v>17</v>
      </c>
      <c r="K155" t="s">
        <v>870</v>
      </c>
      <c r="L155" t="s">
        <v>2197</v>
      </c>
      <c r="M155" t="s">
        <v>2198</v>
      </c>
      <c r="N155" t="s">
        <v>392</v>
      </c>
    </row>
    <row r="156" spans="1:14" ht="11.25" customHeight="1">
      <c r="A156" t="s">
        <v>2191</v>
      </c>
      <c r="B156" t="s">
        <v>14</v>
      </c>
      <c r="C156" t="s">
        <v>2733</v>
      </c>
      <c r="D156" t="s">
        <v>2734</v>
      </c>
      <c r="E156" t="s">
        <v>2735</v>
      </c>
      <c r="F156" t="s">
        <v>2195</v>
      </c>
      <c r="G156" t="s">
        <v>17</v>
      </c>
      <c r="H156" t="s">
        <v>17</v>
      </c>
      <c r="I156" t="s">
        <v>2196</v>
      </c>
      <c r="J156" t="s">
        <v>17</v>
      </c>
      <c r="K156" t="s">
        <v>870</v>
      </c>
      <c r="L156" t="s">
        <v>2197</v>
      </c>
      <c r="M156" t="s">
        <v>2198</v>
      </c>
      <c r="N156" t="s">
        <v>392</v>
      </c>
    </row>
    <row r="157" spans="1:14" ht="11.25" customHeight="1">
      <c r="A157" t="s">
        <v>2191</v>
      </c>
      <c r="B157" t="s">
        <v>14</v>
      </c>
      <c r="C157" t="s">
        <v>2736</v>
      </c>
      <c r="D157" t="s">
        <v>2737</v>
      </c>
      <c r="E157" t="s">
        <v>2738</v>
      </c>
      <c r="F157" t="s">
        <v>2739</v>
      </c>
      <c r="G157" t="s">
        <v>17</v>
      </c>
      <c r="H157" t="s">
        <v>17</v>
      </c>
      <c r="I157" t="s">
        <v>2319</v>
      </c>
      <c r="J157" t="s">
        <v>17</v>
      </c>
      <c r="K157" t="s">
        <v>870</v>
      </c>
      <c r="L157" t="s">
        <v>2197</v>
      </c>
      <c r="M157" t="s">
        <v>2198</v>
      </c>
      <c r="N157" t="s">
        <v>392</v>
      </c>
    </row>
    <row r="158" spans="1:14" ht="11.25" customHeight="1">
      <c r="A158" t="s">
        <v>2191</v>
      </c>
      <c r="B158" t="s">
        <v>14</v>
      </c>
      <c r="C158" t="s">
        <v>2740</v>
      </c>
      <c r="D158" t="s">
        <v>2741</v>
      </c>
      <c r="E158" t="s">
        <v>2742</v>
      </c>
      <c r="F158" t="s">
        <v>2590</v>
      </c>
      <c r="G158" t="s">
        <v>17</v>
      </c>
      <c r="H158" t="s">
        <v>17</v>
      </c>
      <c r="I158" t="s">
        <v>2235</v>
      </c>
      <c r="J158" t="s">
        <v>17</v>
      </c>
      <c r="K158" t="s">
        <v>870</v>
      </c>
      <c r="L158" t="s">
        <v>2197</v>
      </c>
      <c r="M158" t="s">
        <v>2198</v>
      </c>
      <c r="N158" t="s">
        <v>392</v>
      </c>
    </row>
    <row r="159" spans="1:14" ht="11.25" customHeight="1">
      <c r="A159" t="s">
        <v>2191</v>
      </c>
      <c r="B159" t="s">
        <v>14</v>
      </c>
      <c r="C159" t="s">
        <v>2743</v>
      </c>
      <c r="D159" t="s">
        <v>2744</v>
      </c>
      <c r="E159" t="s">
        <v>2745</v>
      </c>
      <c r="F159" t="s">
        <v>2291</v>
      </c>
      <c r="G159" t="s">
        <v>17</v>
      </c>
      <c r="H159" t="s">
        <v>17</v>
      </c>
      <c r="I159" t="s">
        <v>2287</v>
      </c>
      <c r="J159" t="s">
        <v>17</v>
      </c>
      <c r="K159" t="s">
        <v>870</v>
      </c>
      <c r="L159" t="s">
        <v>2197</v>
      </c>
      <c r="M159" t="s">
        <v>2198</v>
      </c>
      <c r="N159" t="s">
        <v>392</v>
      </c>
    </row>
    <row r="160" spans="1:14" ht="11.25" customHeight="1">
      <c r="A160" t="s">
        <v>2191</v>
      </c>
      <c r="B160" t="s">
        <v>14</v>
      </c>
      <c r="C160" t="s">
        <v>2746</v>
      </c>
      <c r="D160" t="s">
        <v>2747</v>
      </c>
      <c r="E160" t="s">
        <v>2748</v>
      </c>
      <c r="F160" t="s">
        <v>2244</v>
      </c>
      <c r="G160" t="s">
        <v>17</v>
      </c>
      <c r="H160" t="s">
        <v>17</v>
      </c>
      <c r="I160" t="s">
        <v>2235</v>
      </c>
      <c r="J160" t="s">
        <v>17</v>
      </c>
      <c r="K160" t="s">
        <v>870</v>
      </c>
      <c r="L160" t="s">
        <v>2197</v>
      </c>
      <c r="M160" t="s">
        <v>2198</v>
      </c>
      <c r="N160" t="s">
        <v>392</v>
      </c>
    </row>
    <row r="161" spans="1:14" ht="11.25" customHeight="1">
      <c r="A161" t="s">
        <v>2191</v>
      </c>
      <c r="B161" t="s">
        <v>14</v>
      </c>
      <c r="C161" t="s">
        <v>2749</v>
      </c>
      <c r="D161" t="s">
        <v>2750</v>
      </c>
      <c r="E161" t="s">
        <v>2751</v>
      </c>
      <c r="F161" t="s">
        <v>2262</v>
      </c>
      <c r="G161" t="s">
        <v>17</v>
      </c>
      <c r="H161" t="s">
        <v>17</v>
      </c>
      <c r="I161" t="s">
        <v>2752</v>
      </c>
      <c r="J161" t="s">
        <v>17</v>
      </c>
      <c r="K161" t="s">
        <v>870</v>
      </c>
      <c r="L161" t="s">
        <v>2197</v>
      </c>
      <c r="M161" t="s">
        <v>2198</v>
      </c>
      <c r="N161" t="s">
        <v>392</v>
      </c>
    </row>
    <row r="162" spans="1:14" ht="11.25" customHeight="1">
      <c r="A162" t="s">
        <v>2191</v>
      </c>
      <c r="B162" t="s">
        <v>14</v>
      </c>
      <c r="C162" t="s">
        <v>2753</v>
      </c>
      <c r="D162" t="s">
        <v>2754</v>
      </c>
      <c r="E162" t="s">
        <v>2755</v>
      </c>
      <c r="F162" t="s">
        <v>2756</v>
      </c>
      <c r="G162" t="s">
        <v>17</v>
      </c>
      <c r="H162" t="s">
        <v>17</v>
      </c>
      <c r="I162" t="s">
        <v>2319</v>
      </c>
      <c r="J162" t="s">
        <v>17</v>
      </c>
      <c r="K162" t="s">
        <v>870</v>
      </c>
      <c r="L162" t="s">
        <v>2197</v>
      </c>
      <c r="M162" t="s">
        <v>2198</v>
      </c>
      <c r="N162" t="s">
        <v>392</v>
      </c>
    </row>
    <row r="163" spans="1:14" ht="11.25" customHeight="1">
      <c r="A163" t="s">
        <v>2191</v>
      </c>
      <c r="B163" t="s">
        <v>14</v>
      </c>
      <c r="C163" t="s">
        <v>2757</v>
      </c>
      <c r="D163" t="s">
        <v>2758</v>
      </c>
      <c r="E163" t="s">
        <v>2759</v>
      </c>
      <c r="F163" t="s">
        <v>2262</v>
      </c>
      <c r="G163" t="s">
        <v>17</v>
      </c>
      <c r="H163" t="s">
        <v>17</v>
      </c>
      <c r="I163" t="s">
        <v>2532</v>
      </c>
      <c r="J163" t="s">
        <v>17</v>
      </c>
      <c r="K163" t="s">
        <v>775</v>
      </c>
      <c r="L163" t="s">
        <v>2220</v>
      </c>
      <c r="M163" t="s">
        <v>2221</v>
      </c>
      <c r="N163" t="s">
        <v>392</v>
      </c>
    </row>
    <row r="164" spans="1:14" ht="11.25" customHeight="1">
      <c r="A164" t="s">
        <v>2191</v>
      </c>
      <c r="B164" t="s">
        <v>14</v>
      </c>
      <c r="C164" t="s">
        <v>2760</v>
      </c>
      <c r="D164" t="s">
        <v>2761</v>
      </c>
      <c r="E164" t="s">
        <v>2762</v>
      </c>
      <c r="F164" t="s">
        <v>2739</v>
      </c>
      <c r="G164" t="s">
        <v>17</v>
      </c>
      <c r="H164" t="s">
        <v>17</v>
      </c>
      <c r="I164" t="s">
        <v>2319</v>
      </c>
      <c r="J164" t="s">
        <v>17</v>
      </c>
      <c r="K164" t="s">
        <v>870</v>
      </c>
      <c r="L164" t="s">
        <v>2197</v>
      </c>
      <c r="M164" t="s">
        <v>2198</v>
      </c>
      <c r="N164" t="s">
        <v>392</v>
      </c>
    </row>
    <row r="165" spans="1:14" ht="11.25" customHeight="1">
      <c r="A165" t="s">
        <v>2191</v>
      </c>
      <c r="B165" t="s">
        <v>14</v>
      </c>
      <c r="C165" t="s">
        <v>2763</v>
      </c>
      <c r="D165" t="s">
        <v>2764</v>
      </c>
      <c r="E165" t="s">
        <v>2765</v>
      </c>
      <c r="F165" t="s">
        <v>2280</v>
      </c>
      <c r="G165" t="s">
        <v>17</v>
      </c>
      <c r="H165" t="s">
        <v>17</v>
      </c>
      <c r="I165" t="s">
        <v>2196</v>
      </c>
      <c r="J165" t="s">
        <v>17</v>
      </c>
      <c r="K165" t="s">
        <v>930</v>
      </c>
      <c r="L165" t="s">
        <v>2766</v>
      </c>
      <c r="M165" t="s">
        <v>2767</v>
      </c>
      <c r="N165" t="s">
        <v>392</v>
      </c>
    </row>
    <row r="166" spans="1:14" ht="11.25" customHeight="1">
      <c r="A166" t="s">
        <v>2191</v>
      </c>
      <c r="B166" t="s">
        <v>14</v>
      </c>
      <c r="C166" t="s">
        <v>2763</v>
      </c>
      <c r="D166" t="s">
        <v>2764</v>
      </c>
      <c r="E166" t="s">
        <v>2765</v>
      </c>
      <c r="F166" t="s">
        <v>2280</v>
      </c>
      <c r="G166" t="s">
        <v>17</v>
      </c>
      <c r="H166" t="s">
        <v>17</v>
      </c>
      <c r="I166" t="s">
        <v>2196</v>
      </c>
      <c r="J166" t="s">
        <v>17</v>
      </c>
      <c r="K166" t="s">
        <v>838</v>
      </c>
      <c r="L166" t="s">
        <v>2766</v>
      </c>
      <c r="M166" t="s">
        <v>2767</v>
      </c>
      <c r="N166" t="s">
        <v>392</v>
      </c>
    </row>
    <row r="167" spans="1:14" ht="11.25" customHeight="1">
      <c r="A167" t="s">
        <v>2191</v>
      </c>
      <c r="B167" t="s">
        <v>14</v>
      </c>
      <c r="C167" t="s">
        <v>2768</v>
      </c>
      <c r="D167" t="s">
        <v>2769</v>
      </c>
      <c r="E167" t="s">
        <v>2393</v>
      </c>
      <c r="F167" t="s">
        <v>2207</v>
      </c>
      <c r="G167" t="s">
        <v>17</v>
      </c>
      <c r="H167" t="s">
        <v>17</v>
      </c>
      <c r="I167" t="s">
        <v>2196</v>
      </c>
      <c r="J167" t="s">
        <v>17</v>
      </c>
      <c r="K167" t="s">
        <v>870</v>
      </c>
      <c r="L167" t="s">
        <v>2197</v>
      </c>
      <c r="M167" t="s">
        <v>2198</v>
      </c>
      <c r="N167" t="s">
        <v>392</v>
      </c>
    </row>
    <row r="168" spans="1:14" ht="11.25" customHeight="1">
      <c r="A168" t="s">
        <v>2191</v>
      </c>
      <c r="B168" t="s">
        <v>14</v>
      </c>
      <c r="C168" t="s">
        <v>2770</v>
      </c>
      <c r="D168" t="s">
        <v>2771</v>
      </c>
      <c r="E168" t="s">
        <v>2772</v>
      </c>
      <c r="F168" t="s">
        <v>2291</v>
      </c>
      <c r="G168" t="s">
        <v>17</v>
      </c>
      <c r="H168" t="s">
        <v>17</v>
      </c>
      <c r="I168" t="s">
        <v>2773</v>
      </c>
      <c r="J168" t="s">
        <v>17</v>
      </c>
      <c r="K168" t="s">
        <v>870</v>
      </c>
      <c r="L168" t="s">
        <v>2197</v>
      </c>
      <c r="M168" t="s">
        <v>2198</v>
      </c>
      <c r="N168" t="s">
        <v>392</v>
      </c>
    </row>
    <row r="169" spans="1:14" ht="11.25" customHeight="1">
      <c r="A169" t="s">
        <v>2191</v>
      </c>
      <c r="B169" t="s">
        <v>14</v>
      </c>
      <c r="C169" t="s">
        <v>2770</v>
      </c>
      <c r="D169" t="s">
        <v>2771</v>
      </c>
      <c r="E169" t="s">
        <v>2772</v>
      </c>
      <c r="F169" t="s">
        <v>2291</v>
      </c>
      <c r="G169" t="s">
        <v>17</v>
      </c>
      <c r="H169" t="s">
        <v>17</v>
      </c>
      <c r="I169" t="s">
        <v>2722</v>
      </c>
      <c r="J169" t="s">
        <v>17</v>
      </c>
      <c r="K169" t="s">
        <v>870</v>
      </c>
      <c r="L169" t="s">
        <v>2197</v>
      </c>
      <c r="M169" t="s">
        <v>2198</v>
      </c>
      <c r="N169" t="s">
        <v>392</v>
      </c>
    </row>
    <row r="170" spans="1:14" ht="11.25" customHeight="1">
      <c r="A170" t="s">
        <v>2191</v>
      </c>
      <c r="B170" t="s">
        <v>14</v>
      </c>
      <c r="C170" t="s">
        <v>2770</v>
      </c>
      <c r="D170" t="s">
        <v>2771</v>
      </c>
      <c r="E170" t="s">
        <v>2772</v>
      </c>
      <c r="F170" t="s">
        <v>2291</v>
      </c>
      <c r="G170" t="s">
        <v>17</v>
      </c>
      <c r="H170" t="s">
        <v>17</v>
      </c>
      <c r="I170" t="s">
        <v>2669</v>
      </c>
      <c r="J170" t="s">
        <v>17</v>
      </c>
      <c r="K170" t="s">
        <v>870</v>
      </c>
      <c r="L170" t="s">
        <v>2197</v>
      </c>
      <c r="M170" t="s">
        <v>2198</v>
      </c>
      <c r="N170" t="s">
        <v>392</v>
      </c>
    </row>
    <row r="171" spans="1:14" ht="11.25" customHeight="1">
      <c r="A171" t="s">
        <v>2191</v>
      </c>
      <c r="B171" t="s">
        <v>14</v>
      </c>
      <c r="C171" t="s">
        <v>2770</v>
      </c>
      <c r="D171" t="s">
        <v>2771</v>
      </c>
      <c r="E171" t="s">
        <v>2772</v>
      </c>
      <c r="F171" t="s">
        <v>2291</v>
      </c>
      <c r="G171" t="s">
        <v>17</v>
      </c>
      <c r="H171" t="s">
        <v>17</v>
      </c>
      <c r="I171" t="s">
        <v>2319</v>
      </c>
      <c r="J171" t="s">
        <v>17</v>
      </c>
      <c r="K171" t="s">
        <v>870</v>
      </c>
      <c r="L171" t="s">
        <v>2197</v>
      </c>
      <c r="M171" t="s">
        <v>2198</v>
      </c>
      <c r="N171" t="s">
        <v>392</v>
      </c>
    </row>
    <row r="172" spans="1:14" ht="11.25" customHeight="1">
      <c r="A172" t="s">
        <v>2191</v>
      </c>
      <c r="B172" t="s">
        <v>14</v>
      </c>
      <c r="C172" t="s">
        <v>2774</v>
      </c>
      <c r="D172" t="s">
        <v>2775</v>
      </c>
      <c r="E172" t="s">
        <v>2776</v>
      </c>
      <c r="F172" t="s">
        <v>2257</v>
      </c>
      <c r="G172" t="s">
        <v>17</v>
      </c>
      <c r="H172" t="s">
        <v>17</v>
      </c>
      <c r="I172" t="s">
        <v>2235</v>
      </c>
      <c r="J172" t="s">
        <v>17</v>
      </c>
      <c r="K172" t="s">
        <v>870</v>
      </c>
      <c r="L172" t="s">
        <v>2197</v>
      </c>
      <c r="M172" t="s">
        <v>2198</v>
      </c>
      <c r="N172" t="s">
        <v>392</v>
      </c>
    </row>
    <row r="173" spans="1:14" ht="11.25" customHeight="1">
      <c r="A173" t="s">
        <v>2191</v>
      </c>
      <c r="B173" t="s">
        <v>14</v>
      </c>
      <c r="C173" t="s">
        <v>2774</v>
      </c>
      <c r="D173" t="s">
        <v>2775</v>
      </c>
      <c r="E173" t="s">
        <v>2776</v>
      </c>
      <c r="F173" t="s">
        <v>2257</v>
      </c>
      <c r="G173" t="s">
        <v>17</v>
      </c>
      <c r="H173" t="s">
        <v>17</v>
      </c>
      <c r="I173" t="s">
        <v>2319</v>
      </c>
      <c r="J173" t="s">
        <v>17</v>
      </c>
      <c r="K173" t="s">
        <v>870</v>
      </c>
      <c r="L173" t="s">
        <v>2197</v>
      </c>
      <c r="M173" t="s">
        <v>2198</v>
      </c>
      <c r="N173" t="s">
        <v>392</v>
      </c>
    </row>
    <row r="174" spans="1:14" ht="11.25" customHeight="1">
      <c r="A174" t="s">
        <v>2191</v>
      </c>
      <c r="B174" t="s">
        <v>14</v>
      </c>
      <c r="C174" t="s">
        <v>2777</v>
      </c>
      <c r="D174" t="s">
        <v>2778</v>
      </c>
      <c r="E174" t="s">
        <v>2779</v>
      </c>
      <c r="F174" t="s">
        <v>2291</v>
      </c>
      <c r="G174" t="s">
        <v>17</v>
      </c>
      <c r="H174" t="s">
        <v>17</v>
      </c>
      <c r="I174" t="s">
        <v>2319</v>
      </c>
      <c r="J174" t="s">
        <v>17</v>
      </c>
      <c r="K174" t="s">
        <v>870</v>
      </c>
      <c r="L174" t="s">
        <v>2197</v>
      </c>
      <c r="M174" t="s">
        <v>2198</v>
      </c>
      <c r="N174" t="s">
        <v>392</v>
      </c>
    </row>
    <row r="175" spans="1:14" ht="11.25" customHeight="1">
      <c r="A175" t="s">
        <v>2191</v>
      </c>
      <c r="B175" t="s">
        <v>14</v>
      </c>
      <c r="C175" t="s">
        <v>2780</v>
      </c>
      <c r="D175" t="s">
        <v>2781</v>
      </c>
      <c r="E175" t="s">
        <v>2782</v>
      </c>
      <c r="F175" t="s">
        <v>2257</v>
      </c>
      <c r="G175" t="s">
        <v>17</v>
      </c>
      <c r="H175" t="s">
        <v>17</v>
      </c>
      <c r="I175" t="s">
        <v>2783</v>
      </c>
      <c r="J175" t="s">
        <v>17</v>
      </c>
      <c r="K175" t="s">
        <v>870</v>
      </c>
      <c r="L175" t="s">
        <v>2197</v>
      </c>
      <c r="M175" t="s">
        <v>2198</v>
      </c>
      <c r="N175" t="s">
        <v>392</v>
      </c>
    </row>
    <row r="176" spans="1:14" ht="11.25" customHeight="1">
      <c r="A176" t="s">
        <v>2191</v>
      </c>
      <c r="B176" t="s">
        <v>14</v>
      </c>
      <c r="C176" t="s">
        <v>2780</v>
      </c>
      <c r="D176" t="s">
        <v>2781</v>
      </c>
      <c r="E176" t="s">
        <v>2782</v>
      </c>
      <c r="F176" t="s">
        <v>2257</v>
      </c>
      <c r="G176" t="s">
        <v>17</v>
      </c>
      <c r="H176" t="s">
        <v>17</v>
      </c>
      <c r="I176" t="s">
        <v>2319</v>
      </c>
      <c r="J176" t="s">
        <v>17</v>
      </c>
      <c r="K176" t="s">
        <v>870</v>
      </c>
      <c r="L176" t="s">
        <v>2197</v>
      </c>
      <c r="M176" t="s">
        <v>2198</v>
      </c>
      <c r="N176" t="s">
        <v>392</v>
      </c>
    </row>
    <row r="177" spans="1:14" ht="11.25" customHeight="1">
      <c r="A177" t="s">
        <v>2191</v>
      </c>
      <c r="B177" t="s">
        <v>14</v>
      </c>
      <c r="C177" t="s">
        <v>2784</v>
      </c>
      <c r="D177" t="s">
        <v>2785</v>
      </c>
      <c r="E177" t="s">
        <v>2786</v>
      </c>
      <c r="F177" t="s">
        <v>2257</v>
      </c>
      <c r="G177" t="s">
        <v>17</v>
      </c>
      <c r="H177" t="s">
        <v>17</v>
      </c>
      <c r="I177" t="s">
        <v>2787</v>
      </c>
      <c r="J177" t="s">
        <v>17</v>
      </c>
      <c r="K177" t="s">
        <v>870</v>
      </c>
      <c r="L177" t="s">
        <v>2197</v>
      </c>
      <c r="M177" t="s">
        <v>2198</v>
      </c>
      <c r="N177" t="s">
        <v>392</v>
      </c>
    </row>
    <row r="178" spans="1:14" ht="11.25" customHeight="1">
      <c r="A178" t="s">
        <v>2191</v>
      </c>
      <c r="B178" t="s">
        <v>14</v>
      </c>
      <c r="C178" t="s">
        <v>2784</v>
      </c>
      <c r="D178" t="s">
        <v>2785</v>
      </c>
      <c r="E178" t="s">
        <v>2786</v>
      </c>
      <c r="F178" t="s">
        <v>2257</v>
      </c>
      <c r="G178" t="s">
        <v>17</v>
      </c>
      <c r="H178" t="s">
        <v>17</v>
      </c>
      <c r="I178" t="s">
        <v>2788</v>
      </c>
      <c r="J178" t="s">
        <v>17</v>
      </c>
      <c r="K178" t="s">
        <v>870</v>
      </c>
      <c r="L178" t="s">
        <v>2197</v>
      </c>
      <c r="M178" t="s">
        <v>2198</v>
      </c>
      <c r="N178" t="s">
        <v>392</v>
      </c>
    </row>
    <row r="179" spans="1:14" ht="11.25" customHeight="1">
      <c r="A179" t="s">
        <v>2191</v>
      </c>
      <c r="B179" t="s">
        <v>14</v>
      </c>
      <c r="C179" t="s">
        <v>2784</v>
      </c>
      <c r="D179" t="s">
        <v>2785</v>
      </c>
      <c r="E179" t="s">
        <v>2786</v>
      </c>
      <c r="F179" t="s">
        <v>2257</v>
      </c>
      <c r="G179" t="s">
        <v>17</v>
      </c>
      <c r="H179" t="s">
        <v>17</v>
      </c>
      <c r="I179" t="s">
        <v>2789</v>
      </c>
      <c r="J179" t="s">
        <v>17</v>
      </c>
      <c r="K179" t="s">
        <v>870</v>
      </c>
      <c r="L179" t="s">
        <v>2197</v>
      </c>
      <c r="M179" t="s">
        <v>2198</v>
      </c>
      <c r="N179" t="s">
        <v>392</v>
      </c>
    </row>
    <row r="180" spans="1:14" ht="11.25" customHeight="1">
      <c r="A180" t="s">
        <v>2191</v>
      </c>
      <c r="B180" t="s">
        <v>14</v>
      </c>
      <c r="C180" t="s">
        <v>2790</v>
      </c>
      <c r="D180" t="s">
        <v>2791</v>
      </c>
      <c r="E180" t="s">
        <v>2792</v>
      </c>
      <c r="F180" t="s">
        <v>2793</v>
      </c>
      <c r="G180" t="s">
        <v>17</v>
      </c>
      <c r="H180" t="s">
        <v>17</v>
      </c>
      <c r="I180" t="s">
        <v>2794</v>
      </c>
      <c r="J180" t="s">
        <v>17</v>
      </c>
      <c r="K180" t="s">
        <v>870</v>
      </c>
      <c r="L180" t="s">
        <v>2197</v>
      </c>
      <c r="M180" t="s">
        <v>2198</v>
      </c>
      <c r="N180" t="s">
        <v>392</v>
      </c>
    </row>
    <row r="181" spans="1:14" ht="11.25" customHeight="1">
      <c r="A181" t="s">
        <v>2191</v>
      </c>
      <c r="B181" t="s">
        <v>14</v>
      </c>
      <c r="C181" t="s">
        <v>2795</v>
      </c>
      <c r="D181" t="s">
        <v>2796</v>
      </c>
      <c r="E181" t="s">
        <v>2797</v>
      </c>
      <c r="F181" t="s">
        <v>2195</v>
      </c>
      <c r="G181" t="s">
        <v>17</v>
      </c>
      <c r="H181" t="s">
        <v>17</v>
      </c>
      <c r="I181" t="s">
        <v>2798</v>
      </c>
      <c r="J181" t="s">
        <v>17</v>
      </c>
      <c r="K181" t="s">
        <v>930</v>
      </c>
      <c r="L181" t="s">
        <v>2218</v>
      </c>
      <c r="M181" t="s">
        <v>2219</v>
      </c>
      <c r="N181" t="s">
        <v>392</v>
      </c>
    </row>
    <row r="182" spans="1:14" ht="11.25" customHeight="1">
      <c r="A182" t="s">
        <v>2191</v>
      </c>
      <c r="B182" t="s">
        <v>14</v>
      </c>
      <c r="C182" t="s">
        <v>2799</v>
      </c>
      <c r="D182" t="s">
        <v>2800</v>
      </c>
      <c r="E182" t="s">
        <v>2801</v>
      </c>
      <c r="F182" t="s">
        <v>2234</v>
      </c>
      <c r="G182" t="s">
        <v>17</v>
      </c>
      <c r="H182" t="s">
        <v>17</v>
      </c>
      <c r="I182" t="s">
        <v>2235</v>
      </c>
      <c r="J182" t="s">
        <v>17</v>
      </c>
      <c r="K182" t="s">
        <v>2481</v>
      </c>
      <c r="L182" t="s">
        <v>802</v>
      </c>
      <c r="M182" t="s">
        <v>2482</v>
      </c>
      <c r="N182" t="s">
        <v>392</v>
      </c>
    </row>
    <row r="183" spans="1:14" ht="11.25" customHeight="1">
      <c r="A183" t="s">
        <v>2191</v>
      </c>
      <c r="B183" t="s">
        <v>14</v>
      </c>
      <c r="C183" t="s">
        <v>2799</v>
      </c>
      <c r="D183" t="s">
        <v>2800</v>
      </c>
      <c r="E183" t="s">
        <v>2801</v>
      </c>
      <c r="F183" t="s">
        <v>2234</v>
      </c>
      <c r="G183" t="s">
        <v>17</v>
      </c>
      <c r="H183" t="s">
        <v>17</v>
      </c>
      <c r="I183" t="s">
        <v>2235</v>
      </c>
      <c r="J183" t="s">
        <v>17</v>
      </c>
      <c r="K183" t="s">
        <v>775</v>
      </c>
      <c r="L183" t="s">
        <v>2220</v>
      </c>
      <c r="M183" t="s">
        <v>2221</v>
      </c>
      <c r="N183" t="s">
        <v>392</v>
      </c>
    </row>
    <row r="184" spans="1:14" ht="11.25" customHeight="1">
      <c r="A184" t="s">
        <v>2191</v>
      </c>
      <c r="B184" t="s">
        <v>14</v>
      </c>
      <c r="C184" t="s">
        <v>2802</v>
      </c>
      <c r="D184" t="s">
        <v>2803</v>
      </c>
      <c r="E184" t="s">
        <v>2804</v>
      </c>
      <c r="F184" t="s">
        <v>2211</v>
      </c>
      <c r="G184" t="s">
        <v>17</v>
      </c>
      <c r="H184" t="s">
        <v>17</v>
      </c>
      <c r="I184" t="s">
        <v>2196</v>
      </c>
      <c r="J184" t="s">
        <v>17</v>
      </c>
      <c r="K184" t="s">
        <v>870</v>
      </c>
      <c r="L184" t="s">
        <v>2197</v>
      </c>
      <c r="M184" t="s">
        <v>2198</v>
      </c>
      <c r="N184" t="s">
        <v>392</v>
      </c>
    </row>
    <row r="185" spans="1:14" ht="11.25" customHeight="1">
      <c r="A185" t="s">
        <v>2191</v>
      </c>
      <c r="B185" t="s">
        <v>14</v>
      </c>
      <c r="C185" t="s">
        <v>2805</v>
      </c>
      <c r="D185" t="s">
        <v>2806</v>
      </c>
      <c r="E185" t="s">
        <v>2807</v>
      </c>
      <c r="F185" t="s">
        <v>2467</v>
      </c>
      <c r="G185" t="s">
        <v>17</v>
      </c>
      <c r="H185" t="s">
        <v>17</v>
      </c>
      <c r="I185" t="s">
        <v>2808</v>
      </c>
      <c r="J185" t="s">
        <v>17</v>
      </c>
      <c r="K185" t="s">
        <v>930</v>
      </c>
      <c r="L185" t="s">
        <v>2218</v>
      </c>
      <c r="M185" t="s">
        <v>2219</v>
      </c>
      <c r="N185" t="s">
        <v>392</v>
      </c>
    </row>
    <row r="186" spans="1:14" ht="11.25" customHeight="1">
      <c r="A186" t="s">
        <v>2191</v>
      </c>
      <c r="B186" t="s">
        <v>14</v>
      </c>
      <c r="C186" t="s">
        <v>2809</v>
      </c>
      <c r="D186" t="s">
        <v>2810</v>
      </c>
      <c r="E186" t="s">
        <v>2811</v>
      </c>
      <c r="F186" t="s">
        <v>2812</v>
      </c>
      <c r="G186" t="s">
        <v>17</v>
      </c>
      <c r="H186" t="s">
        <v>17</v>
      </c>
      <c r="I186" t="s">
        <v>2319</v>
      </c>
      <c r="J186" t="s">
        <v>17</v>
      </c>
      <c r="K186" t="s">
        <v>870</v>
      </c>
      <c r="L186" t="s">
        <v>2197</v>
      </c>
      <c r="M186" t="s">
        <v>2198</v>
      </c>
      <c r="N186" t="s">
        <v>392</v>
      </c>
    </row>
    <row r="187" spans="1:14" ht="11.25" customHeight="1">
      <c r="A187" t="s">
        <v>2191</v>
      </c>
      <c r="B187" t="s">
        <v>14</v>
      </c>
      <c r="C187" t="s">
        <v>2813</v>
      </c>
      <c r="D187" t="s">
        <v>2814</v>
      </c>
      <c r="E187" t="s">
        <v>2815</v>
      </c>
      <c r="F187" t="s">
        <v>2382</v>
      </c>
      <c r="G187" t="s">
        <v>17</v>
      </c>
      <c r="H187" t="s">
        <v>17</v>
      </c>
      <c r="I187" t="s">
        <v>2816</v>
      </c>
      <c r="J187" t="s">
        <v>17</v>
      </c>
      <c r="K187" t="s">
        <v>870</v>
      </c>
      <c r="L187" t="s">
        <v>2197</v>
      </c>
      <c r="M187" t="s">
        <v>2198</v>
      </c>
      <c r="N187" t="s">
        <v>392</v>
      </c>
    </row>
    <row r="188" spans="1:14" ht="11.25" customHeight="1">
      <c r="A188" t="s">
        <v>2191</v>
      </c>
      <c r="B188" t="s">
        <v>14</v>
      </c>
      <c r="C188" t="s">
        <v>2817</v>
      </c>
      <c r="D188" t="s">
        <v>2818</v>
      </c>
      <c r="E188" t="s">
        <v>2819</v>
      </c>
      <c r="F188" t="s">
        <v>2253</v>
      </c>
      <c r="G188" t="s">
        <v>17</v>
      </c>
      <c r="H188" t="s">
        <v>17</v>
      </c>
      <c r="I188" t="s">
        <v>2820</v>
      </c>
      <c r="J188" t="s">
        <v>17</v>
      </c>
      <c r="K188" t="s">
        <v>870</v>
      </c>
      <c r="L188" t="s">
        <v>2197</v>
      </c>
      <c r="M188" t="s">
        <v>2198</v>
      </c>
      <c r="N188" t="s">
        <v>392</v>
      </c>
    </row>
    <row r="189" spans="1:14" ht="11.25" customHeight="1">
      <c r="A189" t="s">
        <v>2191</v>
      </c>
      <c r="B189" t="s">
        <v>14</v>
      </c>
      <c r="C189" t="s">
        <v>2821</v>
      </c>
      <c r="D189" t="s">
        <v>2822</v>
      </c>
      <c r="E189" t="s">
        <v>2823</v>
      </c>
      <c r="F189" t="s">
        <v>2211</v>
      </c>
      <c r="G189" t="s">
        <v>17</v>
      </c>
      <c r="H189" t="s">
        <v>17</v>
      </c>
      <c r="I189" t="s">
        <v>2235</v>
      </c>
      <c r="J189" t="s">
        <v>17</v>
      </c>
      <c r="K189" t="s">
        <v>870</v>
      </c>
      <c r="L189" t="s">
        <v>2197</v>
      </c>
      <c r="M189" t="s">
        <v>2198</v>
      </c>
      <c r="N189" t="s">
        <v>392</v>
      </c>
    </row>
    <row r="190" spans="1:14" ht="11.25" customHeight="1">
      <c r="A190" t="s">
        <v>2191</v>
      </c>
      <c r="B190" t="s">
        <v>14</v>
      </c>
      <c r="C190" t="s">
        <v>2821</v>
      </c>
      <c r="D190" t="s">
        <v>2822</v>
      </c>
      <c r="E190" t="s">
        <v>2823</v>
      </c>
      <c r="F190" t="s">
        <v>2211</v>
      </c>
      <c r="G190" t="s">
        <v>17</v>
      </c>
      <c r="H190" t="s">
        <v>17</v>
      </c>
      <c r="I190" t="s">
        <v>2824</v>
      </c>
      <c r="J190" t="s">
        <v>17</v>
      </c>
      <c r="K190" t="s">
        <v>870</v>
      </c>
      <c r="L190" t="s">
        <v>2197</v>
      </c>
      <c r="M190" t="s">
        <v>2198</v>
      </c>
      <c r="N190" t="s">
        <v>392</v>
      </c>
    </row>
    <row r="191" spans="1:14" ht="11.25" customHeight="1">
      <c r="A191" t="s">
        <v>2191</v>
      </c>
      <c r="B191" t="s">
        <v>14</v>
      </c>
      <c r="C191" t="s">
        <v>2825</v>
      </c>
      <c r="D191" t="s">
        <v>2826</v>
      </c>
      <c r="E191" t="s">
        <v>2827</v>
      </c>
      <c r="F191" t="s">
        <v>2248</v>
      </c>
      <c r="G191" t="s">
        <v>17</v>
      </c>
      <c r="H191" t="s">
        <v>17</v>
      </c>
      <c r="I191" t="s">
        <v>2828</v>
      </c>
      <c r="J191" t="s">
        <v>17</v>
      </c>
      <c r="K191" t="s">
        <v>914</v>
      </c>
      <c r="L191" t="s">
        <v>2229</v>
      </c>
      <c r="M191" t="s">
        <v>2230</v>
      </c>
      <c r="N191" t="s">
        <v>392</v>
      </c>
    </row>
    <row r="192" spans="1:14" ht="11.25" customHeight="1">
      <c r="A192" t="s">
        <v>2191</v>
      </c>
      <c r="B192" t="s">
        <v>14</v>
      </c>
      <c r="C192" t="s">
        <v>2829</v>
      </c>
      <c r="D192" t="s">
        <v>2830</v>
      </c>
      <c r="E192" t="s">
        <v>2831</v>
      </c>
      <c r="F192" t="s">
        <v>2262</v>
      </c>
      <c r="G192" t="s">
        <v>17</v>
      </c>
      <c r="H192" t="s">
        <v>17</v>
      </c>
      <c r="I192" t="s">
        <v>2832</v>
      </c>
      <c r="J192" t="s">
        <v>17</v>
      </c>
      <c r="K192" t="s">
        <v>914</v>
      </c>
      <c r="L192" t="s">
        <v>2229</v>
      </c>
      <c r="M192" t="s">
        <v>2230</v>
      </c>
      <c r="N192" t="s">
        <v>392</v>
      </c>
    </row>
    <row r="193" spans="1:14" ht="11.25" customHeight="1">
      <c r="A193" t="s">
        <v>2191</v>
      </c>
      <c r="B193" t="s">
        <v>14</v>
      </c>
      <c r="C193" t="s">
        <v>2833</v>
      </c>
      <c r="D193" t="s">
        <v>2834</v>
      </c>
      <c r="E193" t="s">
        <v>2835</v>
      </c>
      <c r="F193" t="s">
        <v>2374</v>
      </c>
      <c r="G193" t="s">
        <v>17</v>
      </c>
      <c r="H193" t="s">
        <v>17</v>
      </c>
      <c r="I193" t="s">
        <v>2836</v>
      </c>
      <c r="J193" t="s">
        <v>17</v>
      </c>
      <c r="K193" t="s">
        <v>870</v>
      </c>
      <c r="L193" t="s">
        <v>2197</v>
      </c>
      <c r="M193" t="s">
        <v>2198</v>
      </c>
      <c r="N193" t="s">
        <v>392</v>
      </c>
    </row>
    <row r="194" spans="1:14" ht="11.25" customHeight="1">
      <c r="A194" t="s">
        <v>2191</v>
      </c>
      <c r="B194" t="s">
        <v>14</v>
      </c>
      <c r="C194" t="s">
        <v>2837</v>
      </c>
      <c r="D194" t="s">
        <v>2838</v>
      </c>
      <c r="E194" t="s">
        <v>2839</v>
      </c>
      <c r="F194" t="s">
        <v>2467</v>
      </c>
      <c r="G194" t="s">
        <v>2840</v>
      </c>
      <c r="H194" t="s">
        <v>17</v>
      </c>
      <c r="I194" t="s">
        <v>2841</v>
      </c>
      <c r="J194" t="s">
        <v>17</v>
      </c>
      <c r="K194" t="s">
        <v>870</v>
      </c>
      <c r="L194" t="s">
        <v>2197</v>
      </c>
      <c r="M194" t="s">
        <v>2198</v>
      </c>
      <c r="N194" t="s">
        <v>392</v>
      </c>
    </row>
    <row r="195" spans="1:14" ht="11.25" customHeight="1">
      <c r="A195" t="s">
        <v>2191</v>
      </c>
      <c r="B195" t="s">
        <v>14</v>
      </c>
      <c r="C195" t="s">
        <v>2842</v>
      </c>
      <c r="D195" t="s">
        <v>2843</v>
      </c>
      <c r="E195" t="s">
        <v>2844</v>
      </c>
      <c r="F195" t="s">
        <v>2257</v>
      </c>
      <c r="G195" t="s">
        <v>2845</v>
      </c>
      <c r="H195" t="s">
        <v>17</v>
      </c>
      <c r="I195" t="s">
        <v>2315</v>
      </c>
      <c r="J195" t="s">
        <v>17</v>
      </c>
      <c r="K195" t="s">
        <v>838</v>
      </c>
      <c r="L195" t="s">
        <v>2346</v>
      </c>
      <c r="M195" t="s">
        <v>2347</v>
      </c>
      <c r="N195" t="s">
        <v>392</v>
      </c>
    </row>
    <row r="196" spans="1:14" ht="11.25" customHeight="1">
      <c r="A196" t="s">
        <v>2191</v>
      </c>
      <c r="B196" t="s">
        <v>14</v>
      </c>
      <c r="C196" t="s">
        <v>2846</v>
      </c>
      <c r="D196" t="s">
        <v>2847</v>
      </c>
      <c r="E196" t="s">
        <v>2848</v>
      </c>
      <c r="F196" t="s">
        <v>2739</v>
      </c>
      <c r="G196" t="s">
        <v>17</v>
      </c>
      <c r="H196" t="s">
        <v>17</v>
      </c>
      <c r="I196" t="s">
        <v>2319</v>
      </c>
      <c r="J196" t="s">
        <v>17</v>
      </c>
      <c r="K196" t="s">
        <v>870</v>
      </c>
      <c r="L196" t="s">
        <v>2197</v>
      </c>
      <c r="M196" t="s">
        <v>2198</v>
      </c>
      <c r="N196" t="s">
        <v>392</v>
      </c>
    </row>
    <row r="197" spans="1:14" ht="11.25" customHeight="1">
      <c r="A197" t="s">
        <v>2191</v>
      </c>
      <c r="B197" t="s">
        <v>14</v>
      </c>
      <c r="C197" t="s">
        <v>2849</v>
      </c>
      <c r="D197" t="s">
        <v>2850</v>
      </c>
      <c r="E197" t="s">
        <v>2851</v>
      </c>
      <c r="F197" t="s">
        <v>51</v>
      </c>
      <c r="G197" t="s">
        <v>17</v>
      </c>
      <c r="H197" t="s">
        <v>17</v>
      </c>
      <c r="I197" t="s">
        <v>2852</v>
      </c>
      <c r="J197" t="s">
        <v>17</v>
      </c>
      <c r="K197" t="s">
        <v>930</v>
      </c>
      <c r="L197" t="s">
        <v>2218</v>
      </c>
      <c r="M197" t="s">
        <v>2219</v>
      </c>
      <c r="N197" t="s">
        <v>392</v>
      </c>
    </row>
    <row r="198" spans="1:14" ht="11.25" customHeight="1">
      <c r="A198" t="s">
        <v>2191</v>
      </c>
      <c r="B198" t="s">
        <v>14</v>
      </c>
      <c r="C198" t="s">
        <v>2853</v>
      </c>
      <c r="D198" t="s">
        <v>2854</v>
      </c>
      <c r="E198" t="s">
        <v>2855</v>
      </c>
      <c r="F198" t="s">
        <v>51</v>
      </c>
      <c r="G198" t="s">
        <v>17</v>
      </c>
      <c r="H198" t="s">
        <v>17</v>
      </c>
      <c r="I198" t="s">
        <v>2196</v>
      </c>
      <c r="J198" t="s">
        <v>17</v>
      </c>
      <c r="K198" t="s">
        <v>870</v>
      </c>
      <c r="L198" t="s">
        <v>2197</v>
      </c>
      <c r="M198" t="s">
        <v>2198</v>
      </c>
      <c r="N198" t="s">
        <v>392</v>
      </c>
    </row>
    <row r="199" spans="1:14" ht="11.25" customHeight="1">
      <c r="A199" t="s">
        <v>2191</v>
      </c>
      <c r="B199" t="s">
        <v>14</v>
      </c>
      <c r="C199" t="s">
        <v>2856</v>
      </c>
      <c r="D199" t="s">
        <v>2857</v>
      </c>
      <c r="E199" t="s">
        <v>2858</v>
      </c>
      <c r="F199" t="s">
        <v>51</v>
      </c>
      <c r="G199" t="s">
        <v>2859</v>
      </c>
      <c r="H199" t="s">
        <v>17</v>
      </c>
      <c r="I199" t="s">
        <v>2314</v>
      </c>
      <c r="J199" t="s">
        <v>17</v>
      </c>
      <c r="K199" t="s">
        <v>870</v>
      </c>
      <c r="L199" t="s">
        <v>2197</v>
      </c>
      <c r="M199" t="s">
        <v>2198</v>
      </c>
      <c r="N199" t="s">
        <v>392</v>
      </c>
    </row>
    <row r="200" spans="1:14" ht="11.25" customHeight="1">
      <c r="A200" t="s">
        <v>2191</v>
      </c>
      <c r="B200" t="s">
        <v>14</v>
      </c>
      <c r="C200" t="s">
        <v>2856</v>
      </c>
      <c r="D200" t="s">
        <v>2857</v>
      </c>
      <c r="E200" t="s">
        <v>2858</v>
      </c>
      <c r="F200" t="s">
        <v>51</v>
      </c>
      <c r="G200" t="s">
        <v>2859</v>
      </c>
      <c r="H200" t="s">
        <v>17</v>
      </c>
      <c r="I200" t="s">
        <v>2314</v>
      </c>
      <c r="J200" t="s">
        <v>17</v>
      </c>
      <c r="K200" t="s">
        <v>2238</v>
      </c>
      <c r="L200" t="s">
        <v>2239</v>
      </c>
      <c r="M200" t="s">
        <v>2240</v>
      </c>
      <c r="N200" t="s">
        <v>392</v>
      </c>
    </row>
    <row r="201" spans="1:14" ht="11.25" customHeight="1">
      <c r="A201" t="s">
        <v>2191</v>
      </c>
      <c r="B201" t="s">
        <v>14</v>
      </c>
      <c r="C201" t="s">
        <v>2860</v>
      </c>
      <c r="D201" t="s">
        <v>2861</v>
      </c>
      <c r="E201" t="s">
        <v>2862</v>
      </c>
      <c r="F201" t="s">
        <v>2280</v>
      </c>
      <c r="G201" t="s">
        <v>17</v>
      </c>
      <c r="H201" t="s">
        <v>17</v>
      </c>
      <c r="I201" t="s">
        <v>2863</v>
      </c>
      <c r="J201" t="s">
        <v>17</v>
      </c>
      <c r="K201" t="s">
        <v>802</v>
      </c>
      <c r="L201" t="s">
        <v>802</v>
      </c>
      <c r="M201" t="s">
        <v>2480</v>
      </c>
      <c r="N201" t="s">
        <v>392</v>
      </c>
    </row>
    <row r="202" spans="1:14" ht="11.25" customHeight="1">
      <c r="A202" t="s">
        <v>2191</v>
      </c>
      <c r="B202" t="s">
        <v>14</v>
      </c>
      <c r="C202" t="s">
        <v>2860</v>
      </c>
      <c r="D202" t="s">
        <v>2861</v>
      </c>
      <c r="E202" t="s">
        <v>2862</v>
      </c>
      <c r="F202" t="s">
        <v>2280</v>
      </c>
      <c r="G202" t="s">
        <v>17</v>
      </c>
      <c r="H202" t="s">
        <v>17</v>
      </c>
      <c r="I202" t="s">
        <v>2864</v>
      </c>
      <c r="J202" t="s">
        <v>17</v>
      </c>
      <c r="K202" t="s">
        <v>914</v>
      </c>
      <c r="L202" t="s">
        <v>2229</v>
      </c>
      <c r="M202" t="s">
        <v>2230</v>
      </c>
      <c r="N202" t="s">
        <v>392</v>
      </c>
    </row>
    <row r="203" spans="1:14" ht="11.25" customHeight="1">
      <c r="A203" t="s">
        <v>2191</v>
      </c>
      <c r="B203" t="s">
        <v>14</v>
      </c>
      <c r="C203" t="s">
        <v>2865</v>
      </c>
      <c r="D203" t="s">
        <v>2866</v>
      </c>
      <c r="E203" t="s">
        <v>2867</v>
      </c>
      <c r="F203" t="s">
        <v>2647</v>
      </c>
      <c r="G203" t="s">
        <v>17</v>
      </c>
      <c r="H203" t="s">
        <v>17</v>
      </c>
      <c r="I203" t="s">
        <v>2319</v>
      </c>
      <c r="J203" t="s">
        <v>17</v>
      </c>
      <c r="K203" t="s">
        <v>870</v>
      </c>
      <c r="L203" t="s">
        <v>2197</v>
      </c>
      <c r="M203" t="s">
        <v>2198</v>
      </c>
      <c r="N203" t="s">
        <v>392</v>
      </c>
    </row>
    <row r="204" spans="1:14" ht="11.25" customHeight="1">
      <c r="A204" t="s">
        <v>2191</v>
      </c>
      <c r="B204" t="s">
        <v>14</v>
      </c>
      <c r="C204" t="s">
        <v>2868</v>
      </c>
      <c r="D204" t="s">
        <v>2869</v>
      </c>
      <c r="E204" t="s">
        <v>2870</v>
      </c>
      <c r="F204" t="s">
        <v>2422</v>
      </c>
      <c r="G204" t="s">
        <v>17</v>
      </c>
      <c r="H204" t="s">
        <v>17</v>
      </c>
      <c r="I204" t="s">
        <v>2669</v>
      </c>
      <c r="J204" t="s">
        <v>17</v>
      </c>
      <c r="K204" t="s">
        <v>870</v>
      </c>
      <c r="L204" t="s">
        <v>2197</v>
      </c>
      <c r="M204" t="s">
        <v>2198</v>
      </c>
      <c r="N204" t="s">
        <v>392</v>
      </c>
    </row>
    <row r="205" spans="1:14" ht="11.25" customHeight="1">
      <c r="A205" t="s">
        <v>2191</v>
      </c>
      <c r="B205" t="s">
        <v>14</v>
      </c>
      <c r="C205" t="s">
        <v>2871</v>
      </c>
      <c r="D205" t="s">
        <v>2872</v>
      </c>
      <c r="E205" t="s">
        <v>2873</v>
      </c>
      <c r="F205" t="s">
        <v>2550</v>
      </c>
      <c r="G205" t="s">
        <v>17</v>
      </c>
      <c r="H205" t="s">
        <v>17</v>
      </c>
      <c r="I205" t="s">
        <v>2235</v>
      </c>
      <c r="J205" t="s">
        <v>17</v>
      </c>
      <c r="K205" t="s">
        <v>870</v>
      </c>
      <c r="L205" t="s">
        <v>2197</v>
      </c>
      <c r="M205" t="s">
        <v>2198</v>
      </c>
      <c r="N205" t="s">
        <v>392</v>
      </c>
    </row>
    <row r="206" spans="1:14" ht="11.25" customHeight="1">
      <c r="A206" t="s">
        <v>2191</v>
      </c>
      <c r="B206" t="s">
        <v>14</v>
      </c>
      <c r="C206" t="s">
        <v>2874</v>
      </c>
      <c r="D206" t="s">
        <v>2875</v>
      </c>
      <c r="E206" t="s">
        <v>2876</v>
      </c>
      <c r="F206" t="s">
        <v>2877</v>
      </c>
      <c r="G206" t="s">
        <v>17</v>
      </c>
      <c r="H206" t="s">
        <v>17</v>
      </c>
      <c r="I206" t="s">
        <v>2319</v>
      </c>
      <c r="J206" t="s">
        <v>17</v>
      </c>
      <c r="K206" t="s">
        <v>870</v>
      </c>
      <c r="L206" t="s">
        <v>2197</v>
      </c>
      <c r="M206" t="s">
        <v>2198</v>
      </c>
      <c r="N206" t="s">
        <v>392</v>
      </c>
    </row>
    <row r="207" spans="1:14" ht="11.25" customHeight="1">
      <c r="A207" t="s">
        <v>2191</v>
      </c>
      <c r="B207" t="s">
        <v>14</v>
      </c>
      <c r="C207" t="s">
        <v>2878</v>
      </c>
      <c r="D207" t="s">
        <v>2879</v>
      </c>
      <c r="E207" t="s">
        <v>2880</v>
      </c>
      <c r="F207" t="s">
        <v>2467</v>
      </c>
      <c r="G207" t="s">
        <v>2881</v>
      </c>
      <c r="H207" t="s">
        <v>17</v>
      </c>
      <c r="I207" t="s">
        <v>2287</v>
      </c>
      <c r="J207" t="s">
        <v>17</v>
      </c>
      <c r="K207" t="s">
        <v>870</v>
      </c>
      <c r="L207" t="s">
        <v>2197</v>
      </c>
      <c r="M207" t="s">
        <v>2198</v>
      </c>
      <c r="N207" t="s">
        <v>392</v>
      </c>
    </row>
    <row r="208" spans="1:14" ht="11.25" customHeight="1">
      <c r="A208" t="s">
        <v>2191</v>
      </c>
      <c r="B208" t="s">
        <v>14</v>
      </c>
      <c r="C208" t="s">
        <v>2882</v>
      </c>
      <c r="D208" t="s">
        <v>2883</v>
      </c>
      <c r="E208" t="s">
        <v>2884</v>
      </c>
      <c r="F208" t="s">
        <v>51</v>
      </c>
      <c r="G208" t="s">
        <v>2885</v>
      </c>
      <c r="H208" t="s">
        <v>17</v>
      </c>
      <c r="I208" t="s">
        <v>2885</v>
      </c>
      <c r="J208" t="s">
        <v>17</v>
      </c>
      <c r="K208" t="s">
        <v>870</v>
      </c>
      <c r="L208" t="s">
        <v>2197</v>
      </c>
      <c r="M208" t="s">
        <v>2198</v>
      </c>
      <c r="N208" t="s">
        <v>392</v>
      </c>
    </row>
    <row r="209" spans="1:14" ht="11.25" customHeight="1">
      <c r="A209" t="s">
        <v>2191</v>
      </c>
      <c r="B209" t="s">
        <v>14</v>
      </c>
      <c r="C209" t="s">
        <v>2886</v>
      </c>
      <c r="D209" t="s">
        <v>2887</v>
      </c>
      <c r="E209" t="s">
        <v>2888</v>
      </c>
      <c r="F209" t="s">
        <v>2467</v>
      </c>
      <c r="G209" t="s">
        <v>2889</v>
      </c>
      <c r="H209" t="s">
        <v>17</v>
      </c>
      <c r="I209" t="s">
        <v>2561</v>
      </c>
      <c r="J209" t="s">
        <v>17</v>
      </c>
      <c r="K209" t="s">
        <v>870</v>
      </c>
      <c r="L209" t="s">
        <v>2197</v>
      </c>
      <c r="M209" t="s">
        <v>2198</v>
      </c>
      <c r="N209" t="s">
        <v>392</v>
      </c>
    </row>
    <row r="210" spans="1:14" ht="11.25" customHeight="1">
      <c r="A210" t="s">
        <v>2191</v>
      </c>
      <c r="B210" t="s">
        <v>14</v>
      </c>
      <c r="C210" t="s">
        <v>2890</v>
      </c>
      <c r="D210" t="s">
        <v>2891</v>
      </c>
      <c r="E210" t="s">
        <v>2892</v>
      </c>
      <c r="F210" t="s">
        <v>2296</v>
      </c>
      <c r="G210" t="s">
        <v>2893</v>
      </c>
      <c r="H210" t="s">
        <v>17</v>
      </c>
      <c r="I210" t="s">
        <v>2894</v>
      </c>
      <c r="J210" t="s">
        <v>17</v>
      </c>
      <c r="K210" t="s">
        <v>870</v>
      </c>
      <c r="L210" t="s">
        <v>2197</v>
      </c>
      <c r="M210" t="s">
        <v>2198</v>
      </c>
      <c r="N210" t="s">
        <v>392</v>
      </c>
    </row>
    <row r="211" spans="1:14" ht="11.25" customHeight="1">
      <c r="A211" t="s">
        <v>2191</v>
      </c>
      <c r="B211" t="s">
        <v>14</v>
      </c>
      <c r="C211" t="s">
        <v>2895</v>
      </c>
      <c r="D211" t="s">
        <v>2896</v>
      </c>
      <c r="E211" t="s">
        <v>2897</v>
      </c>
      <c r="F211" t="s">
        <v>2211</v>
      </c>
      <c r="G211" t="s">
        <v>17</v>
      </c>
      <c r="H211" t="s">
        <v>17</v>
      </c>
      <c r="I211" t="s">
        <v>2434</v>
      </c>
      <c r="J211" t="s">
        <v>17</v>
      </c>
      <c r="K211" t="s">
        <v>870</v>
      </c>
      <c r="L211" t="s">
        <v>2197</v>
      </c>
      <c r="M211" t="s">
        <v>2198</v>
      </c>
      <c r="N211" t="s">
        <v>392</v>
      </c>
    </row>
    <row r="212" spans="1:14" ht="11.25" customHeight="1">
      <c r="A212" t="s">
        <v>2191</v>
      </c>
      <c r="B212" t="s">
        <v>14</v>
      </c>
      <c r="C212" t="s">
        <v>2895</v>
      </c>
      <c r="D212" t="s">
        <v>2896</v>
      </c>
      <c r="E212" t="s">
        <v>2897</v>
      </c>
      <c r="F212" t="s">
        <v>2211</v>
      </c>
      <c r="G212" t="s">
        <v>17</v>
      </c>
      <c r="H212" t="s">
        <v>17</v>
      </c>
      <c r="I212" t="s">
        <v>2319</v>
      </c>
      <c r="J212" t="s">
        <v>17</v>
      </c>
      <c r="K212" t="s">
        <v>870</v>
      </c>
      <c r="L212" t="s">
        <v>2197</v>
      </c>
      <c r="M212" t="s">
        <v>2198</v>
      </c>
      <c r="N212" t="s">
        <v>392</v>
      </c>
    </row>
    <row r="213" spans="1:14" ht="11.25" customHeight="1">
      <c r="A213" t="s">
        <v>2191</v>
      </c>
      <c r="B213" t="s">
        <v>14</v>
      </c>
      <c r="C213" t="s">
        <v>2898</v>
      </c>
      <c r="D213" t="s">
        <v>2899</v>
      </c>
      <c r="E213" t="s">
        <v>2900</v>
      </c>
      <c r="F213" t="s">
        <v>2211</v>
      </c>
      <c r="G213" t="s">
        <v>17</v>
      </c>
      <c r="H213" t="s">
        <v>17</v>
      </c>
      <c r="I213" t="s">
        <v>2901</v>
      </c>
      <c r="J213" t="s">
        <v>17</v>
      </c>
      <c r="K213" t="s">
        <v>870</v>
      </c>
      <c r="L213" t="s">
        <v>2197</v>
      </c>
      <c r="M213" t="s">
        <v>2198</v>
      </c>
      <c r="N213" t="s">
        <v>392</v>
      </c>
    </row>
    <row r="214" spans="1:14" ht="11.25" customHeight="1">
      <c r="A214" t="s">
        <v>2191</v>
      </c>
      <c r="B214" t="s">
        <v>14</v>
      </c>
      <c r="C214" t="s">
        <v>2902</v>
      </c>
      <c r="D214" t="s">
        <v>2903</v>
      </c>
      <c r="E214" t="s">
        <v>2904</v>
      </c>
      <c r="F214" t="s">
        <v>2195</v>
      </c>
      <c r="G214" t="s">
        <v>2905</v>
      </c>
      <c r="H214" t="s">
        <v>17</v>
      </c>
      <c r="I214" t="s">
        <v>2906</v>
      </c>
      <c r="J214" t="s">
        <v>17</v>
      </c>
      <c r="K214" t="s">
        <v>870</v>
      </c>
      <c r="L214" t="s">
        <v>2197</v>
      </c>
      <c r="M214" t="s">
        <v>2198</v>
      </c>
      <c r="N214" t="s">
        <v>392</v>
      </c>
    </row>
    <row r="215" spans="1:14" ht="11.25" customHeight="1">
      <c r="A215" t="s">
        <v>2191</v>
      </c>
      <c r="B215" t="s">
        <v>14</v>
      </c>
      <c r="C215" t="s">
        <v>2907</v>
      </c>
      <c r="D215" t="s">
        <v>2908</v>
      </c>
      <c r="E215" t="s">
        <v>2909</v>
      </c>
      <c r="F215" t="s">
        <v>2414</v>
      </c>
      <c r="G215" t="s">
        <v>17</v>
      </c>
      <c r="H215" t="s">
        <v>17</v>
      </c>
      <c r="I215" t="s">
        <v>2319</v>
      </c>
      <c r="J215" t="s">
        <v>17</v>
      </c>
      <c r="K215" t="s">
        <v>870</v>
      </c>
      <c r="L215" t="s">
        <v>2197</v>
      </c>
      <c r="M215" t="s">
        <v>2198</v>
      </c>
      <c r="N215" t="s">
        <v>392</v>
      </c>
    </row>
    <row r="216" spans="1:14" ht="11.25" customHeight="1">
      <c r="A216" t="s">
        <v>2191</v>
      </c>
      <c r="B216" t="s">
        <v>14</v>
      </c>
      <c r="C216" t="s">
        <v>2910</v>
      </c>
      <c r="D216" t="s">
        <v>2911</v>
      </c>
      <c r="E216" t="s">
        <v>2912</v>
      </c>
      <c r="F216" t="s">
        <v>2291</v>
      </c>
      <c r="G216" t="s">
        <v>17</v>
      </c>
      <c r="H216" t="s">
        <v>17</v>
      </c>
      <c r="I216" t="s">
        <v>2669</v>
      </c>
      <c r="J216" t="s">
        <v>17</v>
      </c>
      <c r="K216" t="s">
        <v>870</v>
      </c>
      <c r="L216" t="s">
        <v>2197</v>
      </c>
      <c r="M216" t="s">
        <v>2198</v>
      </c>
      <c r="N216" t="s">
        <v>392</v>
      </c>
    </row>
    <row r="217" spans="1:14" ht="11.25" customHeight="1">
      <c r="A217" t="s">
        <v>2191</v>
      </c>
      <c r="B217" t="s">
        <v>14</v>
      </c>
      <c r="C217" t="s">
        <v>2913</v>
      </c>
      <c r="D217" t="s">
        <v>2914</v>
      </c>
      <c r="E217" t="s">
        <v>2915</v>
      </c>
      <c r="F217" t="s">
        <v>2211</v>
      </c>
      <c r="G217" t="s">
        <v>17</v>
      </c>
      <c r="H217" t="s">
        <v>17</v>
      </c>
      <c r="I217" t="s">
        <v>2196</v>
      </c>
      <c r="J217" t="s">
        <v>17</v>
      </c>
      <c r="K217" t="s">
        <v>870</v>
      </c>
      <c r="L217" t="s">
        <v>2197</v>
      </c>
      <c r="M217" t="s">
        <v>2198</v>
      </c>
      <c r="N217" t="s">
        <v>392</v>
      </c>
    </row>
    <row r="218" spans="1:14" ht="11.25" customHeight="1">
      <c r="A218" t="s">
        <v>2191</v>
      </c>
      <c r="B218" t="s">
        <v>14</v>
      </c>
      <c r="C218" t="s">
        <v>2916</v>
      </c>
      <c r="D218" t="s">
        <v>2917</v>
      </c>
      <c r="E218" t="s">
        <v>2918</v>
      </c>
      <c r="F218" t="s">
        <v>2207</v>
      </c>
      <c r="G218" t="s">
        <v>17</v>
      </c>
      <c r="H218" t="s">
        <v>17</v>
      </c>
      <c r="I218" t="s">
        <v>2919</v>
      </c>
      <c r="J218" t="s">
        <v>17</v>
      </c>
      <c r="K218" t="s">
        <v>870</v>
      </c>
      <c r="L218" t="s">
        <v>2197</v>
      </c>
      <c r="M218" t="s">
        <v>2198</v>
      </c>
      <c r="N218" t="s">
        <v>392</v>
      </c>
    </row>
    <row r="219" spans="1:14" ht="11.25" customHeight="1">
      <c r="A219" t="s">
        <v>2191</v>
      </c>
      <c r="B219" t="s">
        <v>14</v>
      </c>
      <c r="C219" t="s">
        <v>2920</v>
      </c>
      <c r="D219" t="s">
        <v>2921</v>
      </c>
      <c r="E219" t="s">
        <v>2922</v>
      </c>
      <c r="F219" t="s">
        <v>2234</v>
      </c>
      <c r="G219" t="s">
        <v>17</v>
      </c>
      <c r="H219" t="s">
        <v>17</v>
      </c>
      <c r="I219" t="s">
        <v>2235</v>
      </c>
      <c r="J219" t="s">
        <v>17</v>
      </c>
      <c r="K219" t="s">
        <v>870</v>
      </c>
      <c r="L219" t="s">
        <v>2197</v>
      </c>
      <c r="M219" t="s">
        <v>2198</v>
      </c>
      <c r="N219" t="s">
        <v>392</v>
      </c>
    </row>
    <row r="220" spans="1:14" ht="11.25" customHeight="1">
      <c r="A220" t="s">
        <v>2191</v>
      </c>
      <c r="B220" t="s">
        <v>14</v>
      </c>
      <c r="C220" t="s">
        <v>2923</v>
      </c>
      <c r="D220" t="s">
        <v>2924</v>
      </c>
      <c r="E220" t="s">
        <v>2925</v>
      </c>
      <c r="F220" t="s">
        <v>51</v>
      </c>
      <c r="G220" t="s">
        <v>17</v>
      </c>
      <c r="H220" t="s">
        <v>17</v>
      </c>
      <c r="I220" t="s">
        <v>2315</v>
      </c>
      <c r="J220" t="s">
        <v>17</v>
      </c>
      <c r="K220" t="s">
        <v>870</v>
      </c>
      <c r="L220" t="s">
        <v>2197</v>
      </c>
      <c r="M220" t="s">
        <v>2198</v>
      </c>
      <c r="N220" t="s">
        <v>392</v>
      </c>
    </row>
    <row r="221" spans="1:14" ht="11.25" customHeight="1">
      <c r="A221" t="s">
        <v>2191</v>
      </c>
      <c r="B221" t="s">
        <v>14</v>
      </c>
      <c r="C221" t="s">
        <v>2923</v>
      </c>
      <c r="D221" t="s">
        <v>2924</v>
      </c>
      <c r="E221" t="s">
        <v>2925</v>
      </c>
      <c r="F221" t="s">
        <v>51</v>
      </c>
      <c r="G221" t="s">
        <v>17</v>
      </c>
      <c r="H221" t="s">
        <v>17</v>
      </c>
      <c r="I221" t="s">
        <v>2235</v>
      </c>
      <c r="J221" t="s">
        <v>17</v>
      </c>
      <c r="K221" t="s">
        <v>870</v>
      </c>
      <c r="L221" t="s">
        <v>2197</v>
      </c>
      <c r="M221" t="s">
        <v>2198</v>
      </c>
      <c r="N221" t="s">
        <v>392</v>
      </c>
    </row>
    <row r="222" spans="1:14" ht="11.25" customHeight="1">
      <c r="A222" t="s">
        <v>2191</v>
      </c>
      <c r="B222" t="s">
        <v>14</v>
      </c>
      <c r="C222" t="s">
        <v>2926</v>
      </c>
      <c r="D222" t="s">
        <v>2927</v>
      </c>
      <c r="E222" t="s">
        <v>2928</v>
      </c>
      <c r="F222" t="s">
        <v>2493</v>
      </c>
      <c r="G222" t="s">
        <v>17</v>
      </c>
      <c r="H222" t="s">
        <v>17</v>
      </c>
      <c r="I222" t="s">
        <v>2319</v>
      </c>
      <c r="J222" t="s">
        <v>17</v>
      </c>
      <c r="K222" t="s">
        <v>870</v>
      </c>
      <c r="L222" t="s">
        <v>2197</v>
      </c>
      <c r="M222" t="s">
        <v>2198</v>
      </c>
      <c r="N222" t="s">
        <v>392</v>
      </c>
    </row>
    <row r="223" spans="1:14" ht="11.25" customHeight="1">
      <c r="A223" t="s">
        <v>2191</v>
      </c>
      <c r="B223" t="s">
        <v>14</v>
      </c>
      <c r="C223" t="s">
        <v>2929</v>
      </c>
      <c r="D223" t="s">
        <v>2930</v>
      </c>
      <c r="E223" t="s">
        <v>2931</v>
      </c>
      <c r="F223" t="s">
        <v>2291</v>
      </c>
      <c r="G223" t="s">
        <v>17</v>
      </c>
      <c r="H223" t="s">
        <v>17</v>
      </c>
      <c r="I223" t="s">
        <v>2932</v>
      </c>
      <c r="J223" t="s">
        <v>17</v>
      </c>
      <c r="K223" t="s">
        <v>870</v>
      </c>
      <c r="L223" t="s">
        <v>2197</v>
      </c>
      <c r="M223" t="s">
        <v>2198</v>
      </c>
      <c r="N223" t="s">
        <v>392</v>
      </c>
    </row>
    <row r="224" spans="1:14" ht="11.25" customHeight="1">
      <c r="A224" t="s">
        <v>2191</v>
      </c>
      <c r="B224" t="s">
        <v>14</v>
      </c>
      <c r="C224" t="s">
        <v>2933</v>
      </c>
      <c r="D224" t="s">
        <v>2934</v>
      </c>
      <c r="E224" t="s">
        <v>2935</v>
      </c>
      <c r="F224" t="s">
        <v>2936</v>
      </c>
      <c r="G224" t="s">
        <v>17</v>
      </c>
      <c r="H224" t="s">
        <v>17</v>
      </c>
      <c r="I224" t="s">
        <v>2787</v>
      </c>
      <c r="J224" t="s">
        <v>17</v>
      </c>
      <c r="K224" t="s">
        <v>870</v>
      </c>
      <c r="L224" t="s">
        <v>2197</v>
      </c>
      <c r="M224" t="s">
        <v>2198</v>
      </c>
      <c r="N224" t="s">
        <v>392</v>
      </c>
    </row>
    <row r="225" spans="1:14" ht="11.25" customHeight="1">
      <c r="A225" t="s">
        <v>2191</v>
      </c>
      <c r="B225" t="s">
        <v>14</v>
      </c>
      <c r="C225" t="s">
        <v>2937</v>
      </c>
      <c r="D225" t="s">
        <v>2938</v>
      </c>
      <c r="E225" t="s">
        <v>2939</v>
      </c>
      <c r="F225" t="s">
        <v>2940</v>
      </c>
      <c r="G225" t="s">
        <v>17</v>
      </c>
      <c r="H225" t="s">
        <v>17</v>
      </c>
      <c r="I225" t="s">
        <v>2319</v>
      </c>
      <c r="J225" t="s">
        <v>17</v>
      </c>
      <c r="K225" t="s">
        <v>870</v>
      </c>
      <c r="L225" t="s">
        <v>2197</v>
      </c>
      <c r="M225" t="s">
        <v>2198</v>
      </c>
      <c r="N225" t="s">
        <v>392</v>
      </c>
    </row>
    <row r="226" spans="1:14" ht="11.25" customHeight="1">
      <c r="A226" t="s">
        <v>2191</v>
      </c>
      <c r="B226" t="s">
        <v>14</v>
      </c>
      <c r="C226" t="s">
        <v>2941</v>
      </c>
      <c r="D226" t="s">
        <v>2942</v>
      </c>
      <c r="E226" t="s">
        <v>2943</v>
      </c>
      <c r="F226" t="s">
        <v>2944</v>
      </c>
      <c r="G226" t="s">
        <v>17</v>
      </c>
      <c r="H226" t="s">
        <v>17</v>
      </c>
      <c r="I226" t="s">
        <v>2945</v>
      </c>
      <c r="J226" t="s">
        <v>17</v>
      </c>
      <c r="K226" t="s">
        <v>870</v>
      </c>
      <c r="L226" t="s">
        <v>2197</v>
      </c>
      <c r="M226" t="s">
        <v>2198</v>
      </c>
      <c r="N226" t="s">
        <v>392</v>
      </c>
    </row>
    <row r="227" spans="1:14" ht="11.25" customHeight="1">
      <c r="A227" t="s">
        <v>2191</v>
      </c>
      <c r="B227" t="s">
        <v>14</v>
      </c>
      <c r="C227" t="s">
        <v>2946</v>
      </c>
      <c r="D227" t="s">
        <v>2947</v>
      </c>
      <c r="E227" t="s">
        <v>2948</v>
      </c>
      <c r="F227" t="s">
        <v>2195</v>
      </c>
      <c r="G227" t="s">
        <v>17</v>
      </c>
      <c r="H227" t="s">
        <v>17</v>
      </c>
      <c r="I227" t="s">
        <v>2949</v>
      </c>
      <c r="J227" t="s">
        <v>17</v>
      </c>
      <c r="K227" t="s">
        <v>870</v>
      </c>
      <c r="L227" t="s">
        <v>2197</v>
      </c>
      <c r="M227" t="s">
        <v>2198</v>
      </c>
      <c r="N227" t="s">
        <v>392</v>
      </c>
    </row>
    <row r="228" spans="1:14" ht="11.25" customHeight="1">
      <c r="A228" t="s">
        <v>2191</v>
      </c>
      <c r="B228" t="s">
        <v>14</v>
      </c>
      <c r="C228" t="s">
        <v>2950</v>
      </c>
      <c r="D228" t="s">
        <v>2951</v>
      </c>
      <c r="E228" t="s">
        <v>2952</v>
      </c>
      <c r="F228" t="s">
        <v>2590</v>
      </c>
      <c r="G228" t="s">
        <v>17</v>
      </c>
      <c r="H228" t="s">
        <v>17</v>
      </c>
      <c r="I228" t="s">
        <v>2235</v>
      </c>
      <c r="J228" t="s">
        <v>17</v>
      </c>
      <c r="K228" t="s">
        <v>870</v>
      </c>
      <c r="L228" t="s">
        <v>2197</v>
      </c>
      <c r="M228" t="s">
        <v>2198</v>
      </c>
      <c r="N228" t="s">
        <v>392</v>
      </c>
    </row>
    <row r="229" spans="1:14" ht="11.25" customHeight="1">
      <c r="A229" t="s">
        <v>2191</v>
      </c>
      <c r="B229" t="s">
        <v>14</v>
      </c>
      <c r="C229" t="s">
        <v>2953</v>
      </c>
      <c r="D229" t="s">
        <v>2954</v>
      </c>
      <c r="E229" t="s">
        <v>2955</v>
      </c>
      <c r="F229" t="s">
        <v>2956</v>
      </c>
      <c r="G229" t="s">
        <v>17</v>
      </c>
      <c r="H229" t="s">
        <v>17</v>
      </c>
      <c r="I229" t="s">
        <v>2957</v>
      </c>
      <c r="J229" t="s">
        <v>17</v>
      </c>
      <c r="K229" t="s">
        <v>914</v>
      </c>
      <c r="L229" t="s">
        <v>2229</v>
      </c>
      <c r="M229" t="s">
        <v>2230</v>
      </c>
      <c r="N229" t="s">
        <v>392</v>
      </c>
    </row>
    <row r="230" spans="1:14" ht="11.25" customHeight="1">
      <c r="A230" t="s">
        <v>2191</v>
      </c>
      <c r="B230" t="s">
        <v>14</v>
      </c>
      <c r="C230" t="s">
        <v>2958</v>
      </c>
      <c r="D230" t="s">
        <v>2959</v>
      </c>
      <c r="E230" t="s">
        <v>2960</v>
      </c>
      <c r="F230" t="s">
        <v>2262</v>
      </c>
      <c r="G230" t="s">
        <v>17</v>
      </c>
      <c r="H230" t="s">
        <v>17</v>
      </c>
      <c r="I230" t="s">
        <v>2961</v>
      </c>
      <c r="J230" t="s">
        <v>17</v>
      </c>
      <c r="K230" t="s">
        <v>870</v>
      </c>
      <c r="L230" t="s">
        <v>2197</v>
      </c>
      <c r="M230" t="s">
        <v>2198</v>
      </c>
      <c r="N230" t="s">
        <v>392</v>
      </c>
    </row>
    <row r="231" spans="1:14" ht="11.25" customHeight="1">
      <c r="A231" t="s">
        <v>2191</v>
      </c>
      <c r="B231" t="s">
        <v>14</v>
      </c>
      <c r="C231" t="s">
        <v>2962</v>
      </c>
      <c r="D231" t="s">
        <v>2963</v>
      </c>
      <c r="E231" t="s">
        <v>2964</v>
      </c>
      <c r="F231" t="s">
        <v>2211</v>
      </c>
      <c r="G231" t="s">
        <v>2965</v>
      </c>
      <c r="H231" t="s">
        <v>17</v>
      </c>
      <c r="I231" t="s">
        <v>2315</v>
      </c>
      <c r="J231" t="s">
        <v>17</v>
      </c>
      <c r="K231" t="s">
        <v>914</v>
      </c>
      <c r="L231" t="s">
        <v>2229</v>
      </c>
      <c r="M231" t="s">
        <v>2230</v>
      </c>
      <c r="N231" t="s">
        <v>392</v>
      </c>
    </row>
    <row r="232" spans="1:14" ht="11.25" customHeight="1">
      <c r="A232" t="s">
        <v>2191</v>
      </c>
      <c r="B232" t="s">
        <v>14</v>
      </c>
      <c r="C232" t="s">
        <v>2966</v>
      </c>
      <c r="D232" t="s">
        <v>2967</v>
      </c>
      <c r="E232" t="s">
        <v>2968</v>
      </c>
      <c r="F232" t="s">
        <v>2422</v>
      </c>
      <c r="G232" t="s">
        <v>17</v>
      </c>
      <c r="H232" t="s">
        <v>17</v>
      </c>
      <c r="I232" t="s">
        <v>2794</v>
      </c>
      <c r="J232" t="s">
        <v>17</v>
      </c>
      <c r="K232" t="s">
        <v>870</v>
      </c>
      <c r="L232" t="s">
        <v>2197</v>
      </c>
      <c r="M232" t="s">
        <v>2198</v>
      </c>
      <c r="N232" t="s">
        <v>392</v>
      </c>
    </row>
    <row r="233" spans="1:14" ht="11.25" customHeight="1">
      <c r="A233" t="s">
        <v>2191</v>
      </c>
      <c r="B233" t="s">
        <v>14</v>
      </c>
      <c r="C233" t="s">
        <v>2969</v>
      </c>
      <c r="D233" t="s">
        <v>2970</v>
      </c>
      <c r="E233" t="s">
        <v>2971</v>
      </c>
      <c r="F233" t="s">
        <v>2513</v>
      </c>
      <c r="G233" t="s">
        <v>17</v>
      </c>
      <c r="H233" t="s">
        <v>17</v>
      </c>
      <c r="I233" t="s">
        <v>2235</v>
      </c>
      <c r="J233" t="s">
        <v>17</v>
      </c>
      <c r="K233" t="s">
        <v>870</v>
      </c>
      <c r="L233" t="s">
        <v>2197</v>
      </c>
      <c r="M233" t="s">
        <v>2198</v>
      </c>
      <c r="N233" t="s">
        <v>392</v>
      </c>
    </row>
    <row r="234" spans="1:14" ht="11.25" customHeight="1">
      <c r="A234" t="s">
        <v>2191</v>
      </c>
      <c r="B234" t="s">
        <v>14</v>
      </c>
      <c r="C234" t="s">
        <v>2972</v>
      </c>
      <c r="D234" t="s">
        <v>2973</v>
      </c>
      <c r="E234" t="s">
        <v>2974</v>
      </c>
      <c r="F234" t="s">
        <v>2975</v>
      </c>
      <c r="G234" t="s">
        <v>17</v>
      </c>
      <c r="H234" t="s">
        <v>17</v>
      </c>
      <c r="I234" t="s">
        <v>2315</v>
      </c>
      <c r="J234" t="s">
        <v>17</v>
      </c>
      <c r="K234" t="s">
        <v>870</v>
      </c>
      <c r="L234" t="s">
        <v>2197</v>
      </c>
      <c r="M234" t="s">
        <v>2198</v>
      </c>
      <c r="N234" t="s">
        <v>392</v>
      </c>
    </row>
    <row r="235" spans="1:14" ht="11.25" customHeight="1">
      <c r="A235" t="s">
        <v>2191</v>
      </c>
      <c r="B235" t="s">
        <v>14</v>
      </c>
      <c r="C235" t="s">
        <v>2976</v>
      </c>
      <c r="D235" t="s">
        <v>2977</v>
      </c>
      <c r="E235" t="s">
        <v>2978</v>
      </c>
      <c r="F235" t="s">
        <v>2211</v>
      </c>
      <c r="G235" t="s">
        <v>17</v>
      </c>
      <c r="H235" t="s">
        <v>17</v>
      </c>
      <c r="I235" t="s">
        <v>2979</v>
      </c>
      <c r="J235" t="s">
        <v>17</v>
      </c>
      <c r="K235" t="s">
        <v>870</v>
      </c>
      <c r="L235" t="s">
        <v>2197</v>
      </c>
      <c r="M235" t="s">
        <v>2198</v>
      </c>
      <c r="N235" t="s">
        <v>392</v>
      </c>
    </row>
    <row r="236" spans="1:14" ht="11.25" customHeight="1">
      <c r="A236" t="s">
        <v>2191</v>
      </c>
      <c r="B236" t="s">
        <v>14</v>
      </c>
      <c r="C236" t="s">
        <v>2980</v>
      </c>
      <c r="D236" t="s">
        <v>2981</v>
      </c>
      <c r="E236" t="s">
        <v>2982</v>
      </c>
      <c r="F236" t="s">
        <v>2983</v>
      </c>
      <c r="G236" t="s">
        <v>2984</v>
      </c>
      <c r="H236" t="s">
        <v>17</v>
      </c>
      <c r="I236" t="s">
        <v>2501</v>
      </c>
      <c r="J236" t="s">
        <v>17</v>
      </c>
      <c r="K236" t="s">
        <v>870</v>
      </c>
      <c r="L236" t="s">
        <v>2197</v>
      </c>
      <c r="M236" t="s">
        <v>2198</v>
      </c>
      <c r="N236" t="s">
        <v>392</v>
      </c>
    </row>
    <row r="237" spans="1:14" ht="11.25" customHeight="1">
      <c r="A237" t="s">
        <v>2191</v>
      </c>
      <c r="B237" t="s">
        <v>14</v>
      </c>
      <c r="C237" t="s">
        <v>2985</v>
      </c>
      <c r="D237" t="s">
        <v>2986</v>
      </c>
      <c r="E237" t="s">
        <v>2987</v>
      </c>
      <c r="F237" t="s">
        <v>2530</v>
      </c>
      <c r="G237" t="s">
        <v>2988</v>
      </c>
      <c r="H237" t="s">
        <v>17</v>
      </c>
      <c r="I237" t="s">
        <v>2319</v>
      </c>
      <c r="J237" t="s">
        <v>17</v>
      </c>
      <c r="K237" t="s">
        <v>870</v>
      </c>
      <c r="L237" t="s">
        <v>2197</v>
      </c>
      <c r="M237" t="s">
        <v>2198</v>
      </c>
      <c r="N237" t="s">
        <v>392</v>
      </c>
    </row>
    <row r="238" spans="1:14" ht="11.25" customHeight="1">
      <c r="A238" t="s">
        <v>2191</v>
      </c>
      <c r="B238" t="s">
        <v>14</v>
      </c>
      <c r="C238" t="s">
        <v>2989</v>
      </c>
      <c r="D238" t="s">
        <v>2990</v>
      </c>
      <c r="E238" t="s">
        <v>2991</v>
      </c>
      <c r="F238" t="s">
        <v>2211</v>
      </c>
      <c r="G238" t="s">
        <v>17</v>
      </c>
      <c r="H238" t="s">
        <v>17</v>
      </c>
      <c r="I238" t="s">
        <v>2196</v>
      </c>
      <c r="J238" t="s">
        <v>17</v>
      </c>
      <c r="K238" t="s">
        <v>870</v>
      </c>
      <c r="L238" t="s">
        <v>2197</v>
      </c>
      <c r="M238" t="s">
        <v>2198</v>
      </c>
      <c r="N238" t="s">
        <v>392</v>
      </c>
    </row>
    <row r="239" spans="1:14" ht="11.25" customHeight="1">
      <c r="A239" t="s">
        <v>2191</v>
      </c>
      <c r="B239" t="s">
        <v>14</v>
      </c>
      <c r="C239" t="s">
        <v>2992</v>
      </c>
      <c r="D239" t="s">
        <v>2993</v>
      </c>
      <c r="E239" t="s">
        <v>2994</v>
      </c>
      <c r="F239" t="s">
        <v>2211</v>
      </c>
      <c r="G239" t="s">
        <v>17</v>
      </c>
      <c r="H239" t="s">
        <v>17</v>
      </c>
      <c r="I239" t="s">
        <v>2196</v>
      </c>
      <c r="J239" t="s">
        <v>17</v>
      </c>
      <c r="K239" t="s">
        <v>870</v>
      </c>
      <c r="L239" t="s">
        <v>2197</v>
      </c>
      <c r="M239" t="s">
        <v>2198</v>
      </c>
      <c r="N239" t="s">
        <v>392</v>
      </c>
    </row>
    <row r="240" spans="1:14" ht="11.25" customHeight="1">
      <c r="A240" t="s">
        <v>2191</v>
      </c>
      <c r="B240" t="s">
        <v>14</v>
      </c>
      <c r="C240" t="s">
        <v>2995</v>
      </c>
      <c r="D240" t="s">
        <v>2996</v>
      </c>
      <c r="E240" t="s">
        <v>2997</v>
      </c>
      <c r="F240" t="s">
        <v>2414</v>
      </c>
      <c r="G240" t="s">
        <v>17</v>
      </c>
      <c r="H240" t="s">
        <v>17</v>
      </c>
      <c r="I240" t="s">
        <v>2319</v>
      </c>
      <c r="J240" t="s">
        <v>17</v>
      </c>
      <c r="K240" t="s">
        <v>870</v>
      </c>
      <c r="L240" t="s">
        <v>2197</v>
      </c>
      <c r="M240" t="s">
        <v>2198</v>
      </c>
      <c r="N240" t="s">
        <v>392</v>
      </c>
    </row>
    <row r="241" spans="1:14" ht="11.25" customHeight="1">
      <c r="A241" t="s">
        <v>2191</v>
      </c>
      <c r="B241" t="s">
        <v>14</v>
      </c>
      <c r="C241" t="s">
        <v>2998</v>
      </c>
      <c r="D241" t="s">
        <v>2999</v>
      </c>
      <c r="E241" t="s">
        <v>3000</v>
      </c>
      <c r="F241" t="s">
        <v>2374</v>
      </c>
      <c r="G241" t="s">
        <v>17</v>
      </c>
      <c r="H241" t="s">
        <v>17</v>
      </c>
      <c r="I241" t="s">
        <v>3001</v>
      </c>
      <c r="J241" t="s">
        <v>17</v>
      </c>
      <c r="K241" t="s">
        <v>870</v>
      </c>
      <c r="L241" t="s">
        <v>2197</v>
      </c>
      <c r="M241" t="s">
        <v>2198</v>
      </c>
      <c r="N241" t="s">
        <v>392</v>
      </c>
    </row>
    <row r="242" spans="1:14" ht="11.25" customHeight="1">
      <c r="A242" t="s">
        <v>2191</v>
      </c>
      <c r="B242" t="s">
        <v>14</v>
      </c>
      <c r="C242" t="s">
        <v>3002</v>
      </c>
      <c r="D242" t="s">
        <v>46</v>
      </c>
      <c r="E242" t="s">
        <v>49</v>
      </c>
      <c r="F242" t="s">
        <v>51</v>
      </c>
      <c r="G242" t="s">
        <v>17</v>
      </c>
      <c r="H242" t="s">
        <v>17</v>
      </c>
      <c r="I242" t="s">
        <v>2319</v>
      </c>
      <c r="J242" t="s">
        <v>17</v>
      </c>
      <c r="K242" t="s">
        <v>914</v>
      </c>
      <c r="L242" t="s">
        <v>2229</v>
      </c>
      <c r="M242" t="s">
        <v>2230</v>
      </c>
      <c r="N242" t="s">
        <v>392</v>
      </c>
    </row>
    <row r="243" spans="1:14" ht="11.25" customHeight="1">
      <c r="A243" t="s">
        <v>2191</v>
      </c>
      <c r="B243" t="s">
        <v>14</v>
      </c>
      <c r="C243" t="s">
        <v>3003</v>
      </c>
      <c r="D243" t="s">
        <v>3004</v>
      </c>
      <c r="E243" t="s">
        <v>3005</v>
      </c>
      <c r="F243" t="s">
        <v>2382</v>
      </c>
      <c r="G243" t="s">
        <v>17</v>
      </c>
      <c r="H243" t="s">
        <v>17</v>
      </c>
      <c r="I243" t="s">
        <v>3006</v>
      </c>
      <c r="J243" t="s">
        <v>17</v>
      </c>
      <c r="K243" t="s">
        <v>802</v>
      </c>
      <c r="L243" t="s">
        <v>802</v>
      </c>
      <c r="M243" t="s">
        <v>2480</v>
      </c>
      <c r="N243" t="s">
        <v>392</v>
      </c>
    </row>
    <row r="244" spans="1:14" ht="11.25" customHeight="1">
      <c r="A244" t="s">
        <v>2191</v>
      </c>
      <c r="B244" t="s">
        <v>14</v>
      </c>
      <c r="C244" t="s">
        <v>3007</v>
      </c>
      <c r="D244" t="s">
        <v>3008</v>
      </c>
      <c r="E244" t="s">
        <v>3009</v>
      </c>
      <c r="F244" t="s">
        <v>2211</v>
      </c>
      <c r="G244" t="s">
        <v>17</v>
      </c>
      <c r="H244" t="s">
        <v>17</v>
      </c>
      <c r="I244" t="s">
        <v>3010</v>
      </c>
      <c r="J244" t="s">
        <v>17</v>
      </c>
      <c r="K244" t="s">
        <v>914</v>
      </c>
      <c r="L244" t="s">
        <v>2229</v>
      </c>
      <c r="M244" t="s">
        <v>2230</v>
      </c>
      <c r="N244" t="s">
        <v>392</v>
      </c>
    </row>
    <row r="245" spans="1:14" ht="11.25" customHeight="1">
      <c r="A245" t="s">
        <v>2191</v>
      </c>
      <c r="B245" t="s">
        <v>14</v>
      </c>
      <c r="C245" t="s">
        <v>3011</v>
      </c>
      <c r="D245" t="s">
        <v>3012</v>
      </c>
      <c r="E245" t="s">
        <v>3013</v>
      </c>
      <c r="F245" t="s">
        <v>2248</v>
      </c>
      <c r="G245" t="s">
        <v>17</v>
      </c>
      <c r="H245" t="s">
        <v>17</v>
      </c>
      <c r="I245" t="s">
        <v>2532</v>
      </c>
      <c r="J245" t="s">
        <v>17</v>
      </c>
      <c r="K245" t="s">
        <v>870</v>
      </c>
      <c r="L245" t="s">
        <v>2197</v>
      </c>
      <c r="M245" t="s">
        <v>2198</v>
      </c>
      <c r="N245" t="s">
        <v>392</v>
      </c>
    </row>
    <row r="246" spans="1:14" ht="11.25" customHeight="1">
      <c r="A246" t="s">
        <v>2191</v>
      </c>
      <c r="B246" t="s">
        <v>14</v>
      </c>
      <c r="C246" t="s">
        <v>3014</v>
      </c>
      <c r="D246" t="s">
        <v>3015</v>
      </c>
      <c r="E246" t="s">
        <v>3016</v>
      </c>
      <c r="F246" t="s">
        <v>2739</v>
      </c>
      <c r="G246" t="s">
        <v>17</v>
      </c>
      <c r="H246" t="s">
        <v>17</v>
      </c>
      <c r="I246" t="s">
        <v>2319</v>
      </c>
      <c r="J246" t="s">
        <v>17</v>
      </c>
      <c r="K246" t="s">
        <v>870</v>
      </c>
      <c r="L246" t="s">
        <v>2197</v>
      </c>
      <c r="M246" t="s">
        <v>2198</v>
      </c>
      <c r="N246" t="s">
        <v>392</v>
      </c>
    </row>
    <row r="247" spans="1:14" ht="11.25" customHeight="1">
      <c r="A247" t="s">
        <v>2191</v>
      </c>
      <c r="B247" t="s">
        <v>14</v>
      </c>
      <c r="C247" t="s">
        <v>3017</v>
      </c>
      <c r="D247" t="s">
        <v>3018</v>
      </c>
      <c r="E247" t="s">
        <v>3019</v>
      </c>
      <c r="F247" t="s">
        <v>2244</v>
      </c>
      <c r="G247" t="s">
        <v>17</v>
      </c>
      <c r="H247" t="s">
        <v>17</v>
      </c>
      <c r="I247" t="s">
        <v>2235</v>
      </c>
      <c r="J247" t="s">
        <v>17</v>
      </c>
      <c r="K247" t="s">
        <v>775</v>
      </c>
      <c r="L247" t="s">
        <v>2236</v>
      </c>
      <c r="M247" t="s">
        <v>2237</v>
      </c>
      <c r="N247" t="s">
        <v>392</v>
      </c>
    </row>
    <row r="248" spans="1:14" ht="11.25" customHeight="1">
      <c r="A248" t="s">
        <v>2191</v>
      </c>
      <c r="B248" t="s">
        <v>14</v>
      </c>
      <c r="C248" t="s">
        <v>3017</v>
      </c>
      <c r="D248" t="s">
        <v>3018</v>
      </c>
      <c r="E248" t="s">
        <v>3019</v>
      </c>
      <c r="F248" t="s">
        <v>2244</v>
      </c>
      <c r="G248" t="s">
        <v>17</v>
      </c>
      <c r="H248" t="s">
        <v>17</v>
      </c>
      <c r="I248" t="s">
        <v>2235</v>
      </c>
      <c r="J248" t="s">
        <v>17</v>
      </c>
      <c r="K248" t="s">
        <v>870</v>
      </c>
      <c r="L248" t="s">
        <v>2236</v>
      </c>
      <c r="M248" t="s">
        <v>2237</v>
      </c>
      <c r="N248" t="s">
        <v>392</v>
      </c>
    </row>
    <row r="249" spans="1:14" ht="11.25" customHeight="1">
      <c r="A249" t="s">
        <v>2191</v>
      </c>
      <c r="B249" t="s">
        <v>14</v>
      </c>
      <c r="C249" t="s">
        <v>3017</v>
      </c>
      <c r="D249" t="s">
        <v>3018</v>
      </c>
      <c r="E249" t="s">
        <v>3019</v>
      </c>
      <c r="F249" t="s">
        <v>2244</v>
      </c>
      <c r="G249" t="s">
        <v>17</v>
      </c>
      <c r="H249" t="s">
        <v>17</v>
      </c>
      <c r="I249" t="s">
        <v>2235</v>
      </c>
      <c r="J249" t="s">
        <v>17</v>
      </c>
      <c r="K249" t="s">
        <v>838</v>
      </c>
      <c r="L249" t="s">
        <v>2236</v>
      </c>
      <c r="M249" t="s">
        <v>2237</v>
      </c>
      <c r="N249" t="s">
        <v>392</v>
      </c>
    </row>
    <row r="250" spans="1:14" ht="11.25" customHeight="1">
      <c r="A250" t="s">
        <v>2191</v>
      </c>
      <c r="B250" t="s">
        <v>14</v>
      </c>
      <c r="C250" t="s">
        <v>3020</v>
      </c>
      <c r="D250" t="s">
        <v>3021</v>
      </c>
      <c r="E250" t="s">
        <v>3022</v>
      </c>
      <c r="F250" t="s">
        <v>2467</v>
      </c>
      <c r="G250" t="s">
        <v>17</v>
      </c>
      <c r="H250" t="s">
        <v>17</v>
      </c>
      <c r="I250" t="s">
        <v>2509</v>
      </c>
      <c r="J250" t="s">
        <v>17</v>
      </c>
      <c r="K250" t="s">
        <v>870</v>
      </c>
      <c r="L250" t="s">
        <v>2197</v>
      </c>
      <c r="M250" t="s">
        <v>2198</v>
      </c>
      <c r="N250" t="s">
        <v>392</v>
      </c>
    </row>
    <row r="251" spans="1:14" ht="11.25" customHeight="1">
      <c r="A251" t="s">
        <v>2191</v>
      </c>
      <c r="B251" t="s">
        <v>14</v>
      </c>
      <c r="C251" t="s">
        <v>3023</v>
      </c>
      <c r="D251" t="s">
        <v>3024</v>
      </c>
      <c r="E251" t="s">
        <v>3025</v>
      </c>
      <c r="F251" t="s">
        <v>2257</v>
      </c>
      <c r="G251" t="s">
        <v>17</v>
      </c>
      <c r="H251" t="s">
        <v>17</v>
      </c>
      <c r="I251" t="s">
        <v>3026</v>
      </c>
      <c r="J251" t="s">
        <v>17</v>
      </c>
      <c r="K251" t="s">
        <v>870</v>
      </c>
      <c r="L251" t="s">
        <v>2197</v>
      </c>
      <c r="M251" t="s">
        <v>2198</v>
      </c>
      <c r="N251" t="s">
        <v>392</v>
      </c>
    </row>
    <row r="252" spans="1:14" ht="11.25" customHeight="1">
      <c r="A252" t="s">
        <v>2191</v>
      </c>
      <c r="B252" t="s">
        <v>14</v>
      </c>
      <c r="C252" t="s">
        <v>3027</v>
      </c>
      <c r="D252" t="s">
        <v>3028</v>
      </c>
      <c r="E252" t="s">
        <v>3029</v>
      </c>
      <c r="F252" t="s">
        <v>2940</v>
      </c>
      <c r="G252" t="s">
        <v>17</v>
      </c>
      <c r="H252" t="s">
        <v>17</v>
      </c>
      <c r="I252" t="s">
        <v>2319</v>
      </c>
      <c r="J252" t="s">
        <v>17</v>
      </c>
      <c r="K252" t="s">
        <v>870</v>
      </c>
      <c r="L252" t="s">
        <v>2197</v>
      </c>
      <c r="M252" t="s">
        <v>2198</v>
      </c>
      <c r="N252" t="s">
        <v>392</v>
      </c>
    </row>
    <row r="253" spans="1:14" ht="11.25" customHeight="1">
      <c r="A253" t="s">
        <v>2191</v>
      </c>
      <c r="B253" t="s">
        <v>14</v>
      </c>
      <c r="C253" t="s">
        <v>3030</v>
      </c>
      <c r="D253" t="s">
        <v>3031</v>
      </c>
      <c r="E253" t="s">
        <v>3032</v>
      </c>
      <c r="F253" t="s">
        <v>2640</v>
      </c>
      <c r="G253" t="s">
        <v>17</v>
      </c>
      <c r="H253" t="s">
        <v>17</v>
      </c>
      <c r="I253" t="s">
        <v>2319</v>
      </c>
      <c r="J253" t="s">
        <v>17</v>
      </c>
      <c r="K253" t="s">
        <v>870</v>
      </c>
      <c r="L253" t="s">
        <v>2197</v>
      </c>
      <c r="M253" t="s">
        <v>2198</v>
      </c>
      <c r="N253" t="s">
        <v>392</v>
      </c>
    </row>
    <row r="254" spans="1:14" ht="11.25" customHeight="1">
      <c r="A254" t="s">
        <v>2191</v>
      </c>
      <c r="B254" t="s">
        <v>14</v>
      </c>
      <c r="C254" t="s">
        <v>3033</v>
      </c>
      <c r="D254" t="s">
        <v>3034</v>
      </c>
      <c r="E254" t="s">
        <v>3035</v>
      </c>
      <c r="F254" t="s">
        <v>2280</v>
      </c>
      <c r="G254" t="s">
        <v>17</v>
      </c>
      <c r="H254" t="s">
        <v>17</v>
      </c>
      <c r="I254" t="s">
        <v>2326</v>
      </c>
      <c r="J254" t="s">
        <v>17</v>
      </c>
      <c r="K254" t="s">
        <v>802</v>
      </c>
      <c r="L254" t="s">
        <v>802</v>
      </c>
      <c r="M254" t="s">
        <v>2480</v>
      </c>
      <c r="N254" t="s">
        <v>392</v>
      </c>
    </row>
    <row r="255" spans="1:14" ht="11.25" customHeight="1">
      <c r="A255" t="s">
        <v>2191</v>
      </c>
      <c r="B255" t="s">
        <v>14</v>
      </c>
      <c r="C255" t="s">
        <v>3036</v>
      </c>
      <c r="D255" t="s">
        <v>3037</v>
      </c>
      <c r="E255" t="s">
        <v>3038</v>
      </c>
      <c r="F255" t="s">
        <v>2691</v>
      </c>
      <c r="G255" t="s">
        <v>17</v>
      </c>
      <c r="H255" t="s">
        <v>17</v>
      </c>
      <c r="I255" t="s">
        <v>2319</v>
      </c>
      <c r="J255" t="s">
        <v>17</v>
      </c>
      <c r="K255" t="s">
        <v>870</v>
      </c>
      <c r="L255" t="s">
        <v>2197</v>
      </c>
      <c r="M255" t="s">
        <v>2198</v>
      </c>
      <c r="N255" t="s">
        <v>392</v>
      </c>
    </row>
    <row r="256" spans="1:14" ht="11.25" customHeight="1">
      <c r="A256" t="s">
        <v>2191</v>
      </c>
      <c r="B256" t="s">
        <v>14</v>
      </c>
      <c r="C256" t="s">
        <v>3039</v>
      </c>
      <c r="D256" t="s">
        <v>3040</v>
      </c>
      <c r="E256" t="s">
        <v>3041</v>
      </c>
      <c r="F256" t="s">
        <v>2739</v>
      </c>
      <c r="G256" t="s">
        <v>17</v>
      </c>
      <c r="H256" t="s">
        <v>17</v>
      </c>
      <c r="I256" t="s">
        <v>2319</v>
      </c>
      <c r="J256" t="s">
        <v>17</v>
      </c>
      <c r="K256" t="s">
        <v>870</v>
      </c>
      <c r="L256" t="s">
        <v>2197</v>
      </c>
      <c r="M256" t="s">
        <v>2198</v>
      </c>
      <c r="N256" t="s">
        <v>392</v>
      </c>
    </row>
    <row r="257" spans="1:14" ht="11.25" customHeight="1">
      <c r="A257" t="s">
        <v>2191</v>
      </c>
      <c r="B257" t="s">
        <v>14</v>
      </c>
      <c r="C257" t="s">
        <v>3042</v>
      </c>
      <c r="D257" t="s">
        <v>3043</v>
      </c>
      <c r="E257" t="s">
        <v>3044</v>
      </c>
      <c r="F257" t="s">
        <v>3045</v>
      </c>
      <c r="G257" t="s">
        <v>3046</v>
      </c>
      <c r="H257" t="s">
        <v>17</v>
      </c>
      <c r="I257" t="s">
        <v>2798</v>
      </c>
      <c r="J257" t="s">
        <v>17</v>
      </c>
      <c r="K257" t="s">
        <v>930</v>
      </c>
      <c r="L257" t="s">
        <v>2218</v>
      </c>
      <c r="M257" t="s">
        <v>2219</v>
      </c>
      <c r="N257" t="s">
        <v>392</v>
      </c>
    </row>
    <row r="258" spans="1:14" ht="11.25" customHeight="1">
      <c r="A258" t="s">
        <v>2191</v>
      </c>
      <c r="B258" t="s">
        <v>14</v>
      </c>
      <c r="C258" t="s">
        <v>3047</v>
      </c>
      <c r="D258" t="s">
        <v>3048</v>
      </c>
      <c r="E258" t="s">
        <v>3049</v>
      </c>
      <c r="F258" t="s">
        <v>2257</v>
      </c>
      <c r="G258" t="s">
        <v>17</v>
      </c>
      <c r="H258" t="s">
        <v>17</v>
      </c>
      <c r="I258" t="s">
        <v>2315</v>
      </c>
      <c r="J258" t="s">
        <v>17</v>
      </c>
      <c r="K258" t="s">
        <v>914</v>
      </c>
      <c r="L258" t="s">
        <v>2229</v>
      </c>
      <c r="M258" t="s">
        <v>2230</v>
      </c>
      <c r="N258" t="s">
        <v>392</v>
      </c>
    </row>
    <row r="259" spans="1:14" ht="11.25" customHeight="1">
      <c r="A259" t="s">
        <v>2191</v>
      </c>
      <c r="B259" t="s">
        <v>14</v>
      </c>
      <c r="C259" t="s">
        <v>3050</v>
      </c>
      <c r="D259" t="s">
        <v>3051</v>
      </c>
      <c r="E259" t="s">
        <v>3052</v>
      </c>
      <c r="F259" t="s">
        <v>3053</v>
      </c>
      <c r="G259" t="s">
        <v>17</v>
      </c>
      <c r="H259" t="s">
        <v>17</v>
      </c>
      <c r="I259" t="s">
        <v>2669</v>
      </c>
      <c r="J259" t="s">
        <v>17</v>
      </c>
      <c r="K259" t="s">
        <v>930</v>
      </c>
      <c r="L259" t="s">
        <v>2218</v>
      </c>
      <c r="M259" t="s">
        <v>2219</v>
      </c>
      <c r="N259" t="s">
        <v>392</v>
      </c>
    </row>
    <row r="260" spans="1:14" ht="11.25" customHeight="1">
      <c r="A260" t="s">
        <v>2191</v>
      </c>
      <c r="B260" t="s">
        <v>14</v>
      </c>
      <c r="C260" t="s">
        <v>3050</v>
      </c>
      <c r="D260" t="s">
        <v>3051</v>
      </c>
      <c r="E260" t="s">
        <v>3052</v>
      </c>
      <c r="F260" t="s">
        <v>3053</v>
      </c>
      <c r="G260" t="s">
        <v>17</v>
      </c>
      <c r="H260" t="s">
        <v>17</v>
      </c>
      <c r="I260" t="s">
        <v>2319</v>
      </c>
      <c r="J260" t="s">
        <v>17</v>
      </c>
      <c r="K260" t="s">
        <v>930</v>
      </c>
      <c r="L260" t="s">
        <v>2218</v>
      </c>
      <c r="M260" t="s">
        <v>2219</v>
      </c>
      <c r="N260" t="s">
        <v>392</v>
      </c>
    </row>
    <row r="261" spans="1:14" ht="11.25" customHeight="1">
      <c r="A261" t="s">
        <v>2191</v>
      </c>
      <c r="B261" t="s">
        <v>14</v>
      </c>
      <c r="C261" t="s">
        <v>3054</v>
      </c>
      <c r="D261" t="s">
        <v>3055</v>
      </c>
      <c r="E261" t="s">
        <v>3056</v>
      </c>
      <c r="F261" t="s">
        <v>2234</v>
      </c>
      <c r="G261" t="s">
        <v>17</v>
      </c>
      <c r="H261" t="s">
        <v>17</v>
      </c>
      <c r="I261" t="s">
        <v>2319</v>
      </c>
      <c r="J261" t="s">
        <v>17</v>
      </c>
      <c r="K261" t="s">
        <v>914</v>
      </c>
      <c r="L261" t="s">
        <v>2229</v>
      </c>
      <c r="M261" t="s">
        <v>2230</v>
      </c>
      <c r="N261" t="s">
        <v>392</v>
      </c>
    </row>
    <row r="262" spans="1:14" ht="11.25" customHeight="1">
      <c r="A262" t="s">
        <v>2191</v>
      </c>
      <c r="B262" t="s">
        <v>14</v>
      </c>
      <c r="C262" t="s">
        <v>3057</v>
      </c>
      <c r="D262" t="s">
        <v>3058</v>
      </c>
      <c r="E262" t="s">
        <v>3059</v>
      </c>
      <c r="F262" t="s">
        <v>51</v>
      </c>
      <c r="G262" t="s">
        <v>17</v>
      </c>
      <c r="H262" t="s">
        <v>17</v>
      </c>
      <c r="I262" t="s">
        <v>3060</v>
      </c>
      <c r="J262" t="s">
        <v>17</v>
      </c>
      <c r="K262" t="s">
        <v>870</v>
      </c>
      <c r="L262" t="s">
        <v>2197</v>
      </c>
      <c r="M262" t="s">
        <v>2198</v>
      </c>
      <c r="N262" t="s">
        <v>392</v>
      </c>
    </row>
    <row r="263" spans="1:14" ht="11.25" customHeight="1">
      <c r="A263" t="s">
        <v>2191</v>
      </c>
      <c r="B263" t="s">
        <v>14</v>
      </c>
      <c r="C263" t="s">
        <v>3061</v>
      </c>
      <c r="D263" t="s">
        <v>3062</v>
      </c>
      <c r="E263" t="s">
        <v>3063</v>
      </c>
      <c r="F263" t="s">
        <v>2244</v>
      </c>
      <c r="G263" t="s">
        <v>17</v>
      </c>
      <c r="H263" t="s">
        <v>17</v>
      </c>
      <c r="I263" t="s">
        <v>2235</v>
      </c>
      <c r="J263" t="s">
        <v>17</v>
      </c>
      <c r="K263" t="s">
        <v>870</v>
      </c>
      <c r="L263" t="s">
        <v>2197</v>
      </c>
      <c r="M263" t="s">
        <v>2198</v>
      </c>
      <c r="N263" t="s">
        <v>392</v>
      </c>
    </row>
    <row r="264" spans="1:14" ht="11.25" customHeight="1">
      <c r="A264" t="s">
        <v>2191</v>
      </c>
      <c r="B264" t="s">
        <v>14</v>
      </c>
      <c r="C264" t="s">
        <v>3064</v>
      </c>
      <c r="D264" t="s">
        <v>3065</v>
      </c>
      <c r="E264" t="s">
        <v>3066</v>
      </c>
      <c r="F264" t="s">
        <v>2211</v>
      </c>
      <c r="G264" t="s">
        <v>17</v>
      </c>
      <c r="H264" t="s">
        <v>17</v>
      </c>
      <c r="I264" t="s">
        <v>2196</v>
      </c>
      <c r="J264" t="s">
        <v>17</v>
      </c>
      <c r="K264" t="s">
        <v>870</v>
      </c>
      <c r="L264" t="s">
        <v>2197</v>
      </c>
      <c r="M264" t="s">
        <v>2198</v>
      </c>
      <c r="N264" t="s">
        <v>392</v>
      </c>
    </row>
    <row r="265" spans="1:14" ht="11.25" customHeight="1">
      <c r="A265" t="s">
        <v>2191</v>
      </c>
      <c r="B265" t="s">
        <v>14</v>
      </c>
      <c r="C265" t="s">
        <v>3067</v>
      </c>
      <c r="D265" t="s">
        <v>3068</v>
      </c>
      <c r="E265" t="s">
        <v>3069</v>
      </c>
      <c r="F265" t="s">
        <v>2211</v>
      </c>
      <c r="G265" t="s">
        <v>17</v>
      </c>
      <c r="H265" t="s">
        <v>17</v>
      </c>
      <c r="I265" t="s">
        <v>2319</v>
      </c>
      <c r="J265" t="s">
        <v>17</v>
      </c>
      <c r="K265" t="s">
        <v>870</v>
      </c>
      <c r="L265" t="s">
        <v>2197</v>
      </c>
      <c r="M265" t="s">
        <v>2198</v>
      </c>
      <c r="N265" t="s">
        <v>392</v>
      </c>
    </row>
    <row r="266" spans="1:14" ht="11.25" customHeight="1">
      <c r="A266" t="s">
        <v>2191</v>
      </c>
      <c r="B266" t="s">
        <v>14</v>
      </c>
      <c r="C266" t="s">
        <v>3070</v>
      </c>
      <c r="D266" t="s">
        <v>3071</v>
      </c>
      <c r="E266" t="s">
        <v>3072</v>
      </c>
      <c r="F266" t="s">
        <v>2195</v>
      </c>
      <c r="G266" t="s">
        <v>17</v>
      </c>
      <c r="H266" t="s">
        <v>17</v>
      </c>
      <c r="I266" t="s">
        <v>3073</v>
      </c>
      <c r="J266" t="s">
        <v>17</v>
      </c>
      <c r="K266" t="s">
        <v>870</v>
      </c>
      <c r="L266" t="s">
        <v>2197</v>
      </c>
      <c r="M266" t="s">
        <v>2198</v>
      </c>
      <c r="N266" t="s">
        <v>392</v>
      </c>
    </row>
    <row r="267" spans="1:14" ht="11.25" customHeight="1">
      <c r="A267" t="s">
        <v>2191</v>
      </c>
      <c r="B267" t="s">
        <v>14</v>
      </c>
      <c r="C267" t="s">
        <v>3074</v>
      </c>
      <c r="D267" t="s">
        <v>3075</v>
      </c>
      <c r="E267" t="s">
        <v>3076</v>
      </c>
      <c r="F267" t="s">
        <v>2291</v>
      </c>
      <c r="G267" t="s">
        <v>3077</v>
      </c>
      <c r="H267" t="s">
        <v>17</v>
      </c>
      <c r="I267" t="s">
        <v>3078</v>
      </c>
      <c r="J267" t="s">
        <v>17</v>
      </c>
      <c r="K267" t="s">
        <v>870</v>
      </c>
      <c r="L267" t="s">
        <v>2197</v>
      </c>
      <c r="M267" t="s">
        <v>2198</v>
      </c>
      <c r="N267" t="s">
        <v>392</v>
      </c>
    </row>
    <row r="268" spans="1:14" ht="11.25" customHeight="1">
      <c r="A268" t="s">
        <v>2191</v>
      </c>
      <c r="B268" t="s">
        <v>14</v>
      </c>
      <c r="C268" t="s">
        <v>3079</v>
      </c>
      <c r="D268" t="s">
        <v>3080</v>
      </c>
      <c r="E268" t="s">
        <v>3081</v>
      </c>
      <c r="F268" t="s">
        <v>2211</v>
      </c>
      <c r="G268" t="s">
        <v>17</v>
      </c>
      <c r="H268" t="s">
        <v>17</v>
      </c>
      <c r="I268" t="s">
        <v>2319</v>
      </c>
      <c r="J268" t="s">
        <v>17</v>
      </c>
      <c r="K268" t="s">
        <v>870</v>
      </c>
      <c r="L268" t="s">
        <v>2197</v>
      </c>
      <c r="M268" t="s">
        <v>2198</v>
      </c>
      <c r="N268" t="s">
        <v>392</v>
      </c>
    </row>
    <row r="269" spans="1:14" ht="11.25" customHeight="1">
      <c r="A269" t="s">
        <v>2191</v>
      </c>
      <c r="B269" t="s">
        <v>14</v>
      </c>
      <c r="C269" t="s">
        <v>3082</v>
      </c>
      <c r="D269" t="s">
        <v>3083</v>
      </c>
      <c r="E269" t="s">
        <v>3084</v>
      </c>
      <c r="F269" t="s">
        <v>2374</v>
      </c>
      <c r="G269" t="s">
        <v>17</v>
      </c>
      <c r="H269" t="s">
        <v>17</v>
      </c>
      <c r="I269" t="s">
        <v>3085</v>
      </c>
      <c r="J269" t="s">
        <v>17</v>
      </c>
      <c r="K269" t="s">
        <v>870</v>
      </c>
      <c r="L269" t="s">
        <v>2197</v>
      </c>
      <c r="M269" t="s">
        <v>2198</v>
      </c>
      <c r="N269" t="s">
        <v>392</v>
      </c>
    </row>
    <row r="270" spans="1:14" ht="11.25" customHeight="1">
      <c r="A270" t="s">
        <v>2191</v>
      </c>
      <c r="B270" t="s">
        <v>14</v>
      </c>
      <c r="C270" t="s">
        <v>3086</v>
      </c>
      <c r="D270" t="s">
        <v>3087</v>
      </c>
      <c r="E270" t="s">
        <v>3088</v>
      </c>
      <c r="F270" t="s">
        <v>2253</v>
      </c>
      <c r="G270" t="s">
        <v>17</v>
      </c>
      <c r="H270" t="s">
        <v>17</v>
      </c>
      <c r="I270" t="s">
        <v>2665</v>
      </c>
      <c r="J270" t="s">
        <v>17</v>
      </c>
      <c r="K270" t="s">
        <v>870</v>
      </c>
      <c r="L270" t="s">
        <v>2197</v>
      </c>
      <c r="M270" t="s">
        <v>2198</v>
      </c>
      <c r="N270" t="s">
        <v>392</v>
      </c>
    </row>
    <row r="271" spans="1:14" ht="11.25" customHeight="1">
      <c r="A271" t="s">
        <v>2191</v>
      </c>
      <c r="B271" t="s">
        <v>14</v>
      </c>
      <c r="C271" t="s">
        <v>3089</v>
      </c>
      <c r="D271" t="s">
        <v>3090</v>
      </c>
      <c r="E271" t="s">
        <v>3091</v>
      </c>
      <c r="F271" t="s">
        <v>2211</v>
      </c>
      <c r="G271" t="s">
        <v>17</v>
      </c>
      <c r="H271" t="s">
        <v>17</v>
      </c>
      <c r="I271" t="s">
        <v>2196</v>
      </c>
      <c r="J271" t="s">
        <v>17</v>
      </c>
      <c r="K271" t="s">
        <v>870</v>
      </c>
      <c r="L271" t="s">
        <v>2197</v>
      </c>
      <c r="M271" t="s">
        <v>2198</v>
      </c>
      <c r="N271" t="s">
        <v>392</v>
      </c>
    </row>
    <row r="272" spans="1:14" ht="11.25" customHeight="1">
      <c r="A272" t="s">
        <v>2191</v>
      </c>
      <c r="B272" t="s">
        <v>14</v>
      </c>
      <c r="C272" t="s">
        <v>3092</v>
      </c>
      <c r="D272" t="s">
        <v>3093</v>
      </c>
      <c r="E272" t="s">
        <v>3094</v>
      </c>
      <c r="F272" t="s">
        <v>2244</v>
      </c>
      <c r="G272" t="s">
        <v>17</v>
      </c>
      <c r="H272" t="s">
        <v>17</v>
      </c>
      <c r="I272" t="s">
        <v>2235</v>
      </c>
      <c r="J272" t="s">
        <v>17</v>
      </c>
      <c r="K272" t="s">
        <v>870</v>
      </c>
      <c r="L272" t="s">
        <v>2197</v>
      </c>
      <c r="M272" t="s">
        <v>2198</v>
      </c>
      <c r="N272" t="s">
        <v>392</v>
      </c>
    </row>
    <row r="273" spans="1:14" ht="11.25" customHeight="1">
      <c r="A273" t="s">
        <v>2191</v>
      </c>
      <c r="B273" t="s">
        <v>14</v>
      </c>
      <c r="C273" t="s">
        <v>3095</v>
      </c>
      <c r="D273" t="s">
        <v>3096</v>
      </c>
      <c r="E273" t="s">
        <v>3097</v>
      </c>
      <c r="F273" t="s">
        <v>2244</v>
      </c>
      <c r="G273" t="s">
        <v>17</v>
      </c>
      <c r="H273" t="s">
        <v>17</v>
      </c>
      <c r="I273" t="s">
        <v>2235</v>
      </c>
      <c r="J273" t="s">
        <v>17</v>
      </c>
      <c r="K273" t="s">
        <v>870</v>
      </c>
      <c r="L273" t="s">
        <v>2197</v>
      </c>
      <c r="M273" t="s">
        <v>2198</v>
      </c>
      <c r="N273" t="s">
        <v>392</v>
      </c>
    </row>
    <row r="274" spans="1:14" ht="11.25" customHeight="1">
      <c r="A274" t="s">
        <v>2191</v>
      </c>
      <c r="B274" t="s">
        <v>14</v>
      </c>
      <c r="C274" t="s">
        <v>3098</v>
      </c>
      <c r="D274" t="s">
        <v>3099</v>
      </c>
      <c r="E274" t="s">
        <v>3100</v>
      </c>
      <c r="F274" t="s">
        <v>2936</v>
      </c>
      <c r="G274" t="s">
        <v>17</v>
      </c>
      <c r="H274" t="s">
        <v>17</v>
      </c>
      <c r="I274" t="s">
        <v>3101</v>
      </c>
      <c r="J274" t="s">
        <v>17</v>
      </c>
      <c r="K274" t="s">
        <v>870</v>
      </c>
      <c r="L274" t="s">
        <v>2197</v>
      </c>
      <c r="M274" t="s">
        <v>2198</v>
      </c>
      <c r="N274" t="s">
        <v>392</v>
      </c>
    </row>
    <row r="275" spans="1:14" ht="11.25" customHeight="1">
      <c r="A275" t="s">
        <v>2191</v>
      </c>
      <c r="B275" t="s">
        <v>14</v>
      </c>
      <c r="C275" t="s">
        <v>3102</v>
      </c>
      <c r="D275" t="s">
        <v>3103</v>
      </c>
      <c r="E275" t="s">
        <v>3104</v>
      </c>
      <c r="F275" t="s">
        <v>2640</v>
      </c>
      <c r="G275" t="s">
        <v>17</v>
      </c>
      <c r="H275" t="s">
        <v>17</v>
      </c>
      <c r="I275" t="s">
        <v>2319</v>
      </c>
      <c r="J275" t="s">
        <v>17</v>
      </c>
      <c r="K275" t="s">
        <v>930</v>
      </c>
      <c r="L275" t="s">
        <v>2218</v>
      </c>
      <c r="M275" t="s">
        <v>2219</v>
      </c>
      <c r="N275" t="s">
        <v>392</v>
      </c>
    </row>
    <row r="276" spans="1:14" ht="11.25" customHeight="1">
      <c r="A276" t="s">
        <v>2191</v>
      </c>
      <c r="B276" t="s">
        <v>14</v>
      </c>
      <c r="C276" t="s">
        <v>3105</v>
      </c>
      <c r="D276" t="s">
        <v>3106</v>
      </c>
      <c r="E276" t="s">
        <v>3107</v>
      </c>
      <c r="F276" t="s">
        <v>2234</v>
      </c>
      <c r="G276" t="s">
        <v>17</v>
      </c>
      <c r="H276" t="s">
        <v>17</v>
      </c>
      <c r="I276" t="s">
        <v>2235</v>
      </c>
      <c r="J276" t="s">
        <v>17</v>
      </c>
      <c r="K276" t="s">
        <v>802</v>
      </c>
      <c r="L276" t="s">
        <v>802</v>
      </c>
      <c r="M276" t="s">
        <v>2480</v>
      </c>
      <c r="N276" t="s">
        <v>392</v>
      </c>
    </row>
    <row r="277" spans="1:14" ht="11.25" customHeight="1">
      <c r="A277" t="s">
        <v>2191</v>
      </c>
      <c r="B277" t="s">
        <v>14</v>
      </c>
      <c r="C277" t="s">
        <v>3108</v>
      </c>
      <c r="D277" t="s">
        <v>3109</v>
      </c>
      <c r="E277" t="s">
        <v>3110</v>
      </c>
      <c r="F277" t="s">
        <v>2211</v>
      </c>
      <c r="G277" t="s">
        <v>3111</v>
      </c>
      <c r="H277" t="s">
        <v>17</v>
      </c>
      <c r="I277" t="s">
        <v>2752</v>
      </c>
      <c r="J277" t="s">
        <v>17</v>
      </c>
      <c r="K277" t="s">
        <v>870</v>
      </c>
      <c r="L277" t="s">
        <v>2197</v>
      </c>
      <c r="M277" t="s">
        <v>2198</v>
      </c>
      <c r="N277" t="s">
        <v>392</v>
      </c>
    </row>
    <row r="278" spans="1:14" ht="11.25" customHeight="1">
      <c r="A278" t="s">
        <v>2191</v>
      </c>
      <c r="B278" t="s">
        <v>14</v>
      </c>
      <c r="C278" t="s">
        <v>3112</v>
      </c>
      <c r="D278" t="s">
        <v>3113</v>
      </c>
      <c r="E278" t="s">
        <v>3114</v>
      </c>
      <c r="F278" t="s">
        <v>2530</v>
      </c>
      <c r="G278" t="s">
        <v>17</v>
      </c>
      <c r="H278" t="s">
        <v>17</v>
      </c>
      <c r="I278" t="s">
        <v>2319</v>
      </c>
      <c r="J278" t="s">
        <v>17</v>
      </c>
      <c r="K278" t="s">
        <v>870</v>
      </c>
      <c r="L278" t="s">
        <v>2197</v>
      </c>
      <c r="M278" t="s">
        <v>2198</v>
      </c>
      <c r="N278" t="s">
        <v>392</v>
      </c>
    </row>
    <row r="279" spans="1:14" ht="11.25" customHeight="1">
      <c r="A279" t="s">
        <v>2191</v>
      </c>
      <c r="B279" t="s">
        <v>14</v>
      </c>
      <c r="C279" t="s">
        <v>3115</v>
      </c>
      <c r="D279" t="s">
        <v>3116</v>
      </c>
      <c r="E279" t="s">
        <v>3117</v>
      </c>
      <c r="F279" t="s">
        <v>2262</v>
      </c>
      <c r="G279" t="s">
        <v>17</v>
      </c>
      <c r="H279" t="s">
        <v>17</v>
      </c>
      <c r="I279" t="s">
        <v>2458</v>
      </c>
      <c r="J279" t="s">
        <v>17</v>
      </c>
      <c r="K279" t="s">
        <v>870</v>
      </c>
      <c r="L279" t="s">
        <v>2197</v>
      </c>
      <c r="M279" t="s">
        <v>2198</v>
      </c>
      <c r="N279" t="s">
        <v>392</v>
      </c>
    </row>
    <row r="280" spans="1:14" ht="11.25" customHeight="1">
      <c r="A280" t="s">
        <v>2191</v>
      </c>
      <c r="B280" t="s">
        <v>14</v>
      </c>
      <c r="C280" t="s">
        <v>3118</v>
      </c>
      <c r="D280" t="s">
        <v>3119</v>
      </c>
      <c r="E280" t="s">
        <v>3120</v>
      </c>
      <c r="F280" t="s">
        <v>51</v>
      </c>
      <c r="G280" t="s">
        <v>3121</v>
      </c>
      <c r="H280" t="s">
        <v>17</v>
      </c>
      <c r="I280" t="s">
        <v>3121</v>
      </c>
      <c r="J280" t="s">
        <v>17</v>
      </c>
      <c r="K280" t="s">
        <v>870</v>
      </c>
      <c r="L280" t="s">
        <v>2197</v>
      </c>
      <c r="M280" t="s">
        <v>2198</v>
      </c>
      <c r="N280" t="s">
        <v>392</v>
      </c>
    </row>
    <row r="281" spans="1:14" ht="11.25" customHeight="1">
      <c r="A281" t="s">
        <v>2191</v>
      </c>
      <c r="B281" t="s">
        <v>14</v>
      </c>
      <c r="C281" t="s">
        <v>3122</v>
      </c>
      <c r="D281" t="s">
        <v>3123</v>
      </c>
      <c r="E281" t="s">
        <v>3124</v>
      </c>
      <c r="F281" t="s">
        <v>2340</v>
      </c>
      <c r="G281" t="s">
        <v>17</v>
      </c>
      <c r="H281" t="s">
        <v>17</v>
      </c>
      <c r="I281" t="s">
        <v>2794</v>
      </c>
      <c r="J281" t="s">
        <v>17</v>
      </c>
      <c r="K281" t="s">
        <v>870</v>
      </c>
      <c r="L281" t="s">
        <v>2197</v>
      </c>
      <c r="M281" t="s">
        <v>2198</v>
      </c>
      <c r="N281" t="s">
        <v>392</v>
      </c>
    </row>
    <row r="282" spans="1:14" ht="11.25" customHeight="1">
      <c r="A282" t="s">
        <v>2191</v>
      </c>
      <c r="B282" t="s">
        <v>14</v>
      </c>
      <c r="C282" t="s">
        <v>3125</v>
      </c>
      <c r="D282" t="s">
        <v>3126</v>
      </c>
      <c r="E282" t="s">
        <v>3127</v>
      </c>
      <c r="F282" t="s">
        <v>2244</v>
      </c>
      <c r="G282" t="s">
        <v>17</v>
      </c>
      <c r="H282" t="s">
        <v>17</v>
      </c>
      <c r="I282" t="s">
        <v>2235</v>
      </c>
      <c r="J282" t="s">
        <v>17</v>
      </c>
      <c r="K282" t="s">
        <v>870</v>
      </c>
      <c r="L282" t="s">
        <v>2197</v>
      </c>
      <c r="M282" t="s">
        <v>2198</v>
      </c>
      <c r="N282" t="s">
        <v>392</v>
      </c>
    </row>
    <row r="283" spans="1:14" ht="11.25" customHeight="1">
      <c r="A283" t="s">
        <v>2191</v>
      </c>
      <c r="B283" t="s">
        <v>14</v>
      </c>
      <c r="C283" t="s">
        <v>3128</v>
      </c>
      <c r="D283" t="s">
        <v>3129</v>
      </c>
      <c r="E283" t="s">
        <v>3130</v>
      </c>
      <c r="F283" t="s">
        <v>2451</v>
      </c>
      <c r="G283" t="s">
        <v>17</v>
      </c>
      <c r="H283" t="s">
        <v>17</v>
      </c>
      <c r="I283" t="s">
        <v>2319</v>
      </c>
      <c r="J283" t="s">
        <v>17</v>
      </c>
      <c r="K283" t="s">
        <v>870</v>
      </c>
      <c r="L283" t="s">
        <v>2197</v>
      </c>
      <c r="M283" t="s">
        <v>2198</v>
      </c>
      <c r="N283" t="s">
        <v>392</v>
      </c>
    </row>
    <row r="284" spans="1:14" ht="11.25" customHeight="1">
      <c r="A284" t="s">
        <v>2191</v>
      </c>
      <c r="B284" t="s">
        <v>14</v>
      </c>
      <c r="C284" t="s">
        <v>3131</v>
      </c>
      <c r="D284" t="s">
        <v>3132</v>
      </c>
      <c r="E284" t="s">
        <v>3133</v>
      </c>
      <c r="F284" t="s">
        <v>2451</v>
      </c>
      <c r="G284" t="s">
        <v>17</v>
      </c>
      <c r="H284" t="s">
        <v>17</v>
      </c>
      <c r="I284" t="s">
        <v>2319</v>
      </c>
      <c r="J284" t="s">
        <v>17</v>
      </c>
      <c r="K284" t="s">
        <v>870</v>
      </c>
      <c r="L284" t="s">
        <v>2197</v>
      </c>
      <c r="M284" t="s">
        <v>2198</v>
      </c>
      <c r="N284" t="s">
        <v>392</v>
      </c>
    </row>
    <row r="285" spans="1:14" ht="11.25" customHeight="1">
      <c r="A285" t="s">
        <v>2191</v>
      </c>
      <c r="B285" t="s">
        <v>14</v>
      </c>
      <c r="C285" t="s">
        <v>3134</v>
      </c>
      <c r="D285" t="s">
        <v>3135</v>
      </c>
      <c r="E285" t="s">
        <v>3136</v>
      </c>
      <c r="F285" t="s">
        <v>2677</v>
      </c>
      <c r="G285" t="s">
        <v>17</v>
      </c>
      <c r="H285" t="s">
        <v>17</v>
      </c>
      <c r="I285" t="s">
        <v>2297</v>
      </c>
      <c r="J285" t="s">
        <v>17</v>
      </c>
      <c r="K285" t="s">
        <v>870</v>
      </c>
      <c r="L285" t="s">
        <v>2197</v>
      </c>
      <c r="M285" t="s">
        <v>2198</v>
      </c>
      <c r="N285" t="s">
        <v>392</v>
      </c>
    </row>
    <row r="286" spans="1:14" ht="11.25" customHeight="1">
      <c r="A286" t="s">
        <v>2191</v>
      </c>
      <c r="B286" t="s">
        <v>14</v>
      </c>
      <c r="C286" t="s">
        <v>3137</v>
      </c>
      <c r="D286" t="s">
        <v>3138</v>
      </c>
      <c r="E286" t="s">
        <v>3139</v>
      </c>
      <c r="F286" t="s">
        <v>3140</v>
      </c>
      <c r="G286" t="s">
        <v>17</v>
      </c>
      <c r="H286" t="s">
        <v>17</v>
      </c>
      <c r="I286" t="s">
        <v>2235</v>
      </c>
      <c r="J286" t="s">
        <v>17</v>
      </c>
      <c r="K286" t="s">
        <v>870</v>
      </c>
      <c r="L286" t="s">
        <v>2197</v>
      </c>
      <c r="M286" t="s">
        <v>2198</v>
      </c>
      <c r="N286" t="s">
        <v>392</v>
      </c>
    </row>
    <row r="287" spans="1:14" ht="11.25" customHeight="1">
      <c r="A287" t="s">
        <v>2191</v>
      </c>
      <c r="B287" t="s">
        <v>14</v>
      </c>
      <c r="C287" t="s">
        <v>3141</v>
      </c>
      <c r="D287" t="s">
        <v>3142</v>
      </c>
      <c r="E287" t="s">
        <v>3143</v>
      </c>
      <c r="F287" t="s">
        <v>2447</v>
      </c>
      <c r="G287" t="s">
        <v>17</v>
      </c>
      <c r="H287" t="s">
        <v>17</v>
      </c>
      <c r="I287" t="s">
        <v>2319</v>
      </c>
      <c r="J287" t="s">
        <v>17</v>
      </c>
      <c r="K287" t="s">
        <v>870</v>
      </c>
      <c r="L287" t="s">
        <v>2197</v>
      </c>
      <c r="M287" t="s">
        <v>2198</v>
      </c>
      <c r="N287" t="s">
        <v>392</v>
      </c>
    </row>
    <row r="288" spans="1:14" ht="11.25" customHeight="1">
      <c r="A288" t="s">
        <v>2191</v>
      </c>
      <c r="B288" t="s">
        <v>14</v>
      </c>
      <c r="C288" t="s">
        <v>3144</v>
      </c>
      <c r="D288" t="s">
        <v>3145</v>
      </c>
      <c r="E288" t="s">
        <v>3146</v>
      </c>
      <c r="F288" t="s">
        <v>2211</v>
      </c>
      <c r="G288" t="s">
        <v>17</v>
      </c>
      <c r="H288" t="s">
        <v>17</v>
      </c>
      <c r="I288" t="s">
        <v>3147</v>
      </c>
      <c r="J288" t="s">
        <v>17</v>
      </c>
      <c r="K288" t="s">
        <v>870</v>
      </c>
      <c r="L288" t="s">
        <v>2197</v>
      </c>
      <c r="M288" t="s">
        <v>2198</v>
      </c>
      <c r="N288" t="s">
        <v>392</v>
      </c>
    </row>
    <row r="289" spans="1:14" ht="11.25" customHeight="1">
      <c r="A289" t="s">
        <v>2191</v>
      </c>
      <c r="B289" t="s">
        <v>14</v>
      </c>
      <c r="C289" t="s">
        <v>3148</v>
      </c>
      <c r="D289" t="s">
        <v>3149</v>
      </c>
      <c r="E289" t="s">
        <v>3150</v>
      </c>
      <c r="F289" t="s">
        <v>3151</v>
      </c>
      <c r="G289" t="s">
        <v>17</v>
      </c>
      <c r="H289" t="s">
        <v>17</v>
      </c>
      <c r="I289" t="s">
        <v>3152</v>
      </c>
      <c r="J289" t="s">
        <v>17</v>
      </c>
      <c r="K289" t="s">
        <v>775</v>
      </c>
      <c r="L289" t="s">
        <v>2220</v>
      </c>
      <c r="M289" t="s">
        <v>2221</v>
      </c>
      <c r="N289" t="s">
        <v>392</v>
      </c>
    </row>
    <row r="290" spans="1:14" ht="11.25" customHeight="1">
      <c r="A290" t="s">
        <v>2191</v>
      </c>
      <c r="B290" t="s">
        <v>14</v>
      </c>
      <c r="C290" t="s">
        <v>3148</v>
      </c>
      <c r="D290" t="s">
        <v>3149</v>
      </c>
      <c r="E290" t="s">
        <v>3150</v>
      </c>
      <c r="F290" t="s">
        <v>3151</v>
      </c>
      <c r="G290" t="s">
        <v>17</v>
      </c>
      <c r="H290" t="s">
        <v>17</v>
      </c>
      <c r="I290" t="s">
        <v>2669</v>
      </c>
      <c r="J290" t="s">
        <v>17</v>
      </c>
      <c r="K290" t="s">
        <v>930</v>
      </c>
      <c r="L290" t="s">
        <v>2218</v>
      </c>
      <c r="M290" t="s">
        <v>2219</v>
      </c>
      <c r="N290" t="s">
        <v>392</v>
      </c>
    </row>
    <row r="291" spans="1:14" ht="11.25" customHeight="1">
      <c r="A291" t="s">
        <v>2191</v>
      </c>
      <c r="B291" t="s">
        <v>14</v>
      </c>
      <c r="C291" t="s">
        <v>3148</v>
      </c>
      <c r="D291" t="s">
        <v>3149</v>
      </c>
      <c r="E291" t="s">
        <v>3150</v>
      </c>
      <c r="F291" t="s">
        <v>3151</v>
      </c>
      <c r="G291" t="s">
        <v>17</v>
      </c>
      <c r="H291" t="s">
        <v>17</v>
      </c>
      <c r="I291" t="s">
        <v>2319</v>
      </c>
      <c r="J291" t="s">
        <v>17</v>
      </c>
      <c r="K291" t="s">
        <v>930</v>
      </c>
      <c r="L291" t="s">
        <v>2218</v>
      </c>
      <c r="M291" t="s">
        <v>2219</v>
      </c>
      <c r="N291" t="s">
        <v>392</v>
      </c>
    </row>
    <row r="292" spans="1:14" ht="11.25" customHeight="1">
      <c r="A292" t="s">
        <v>2191</v>
      </c>
      <c r="B292" t="s">
        <v>14</v>
      </c>
      <c r="C292" t="s">
        <v>3148</v>
      </c>
      <c r="D292" t="s">
        <v>3149</v>
      </c>
      <c r="E292" t="s">
        <v>3150</v>
      </c>
      <c r="F292" t="s">
        <v>3151</v>
      </c>
      <c r="G292" t="s">
        <v>17</v>
      </c>
      <c r="H292" t="s">
        <v>17</v>
      </c>
      <c r="I292" t="s">
        <v>2319</v>
      </c>
      <c r="J292" t="s">
        <v>17</v>
      </c>
      <c r="K292" t="s">
        <v>870</v>
      </c>
      <c r="L292" t="s">
        <v>2197</v>
      </c>
      <c r="M292" t="s">
        <v>2198</v>
      </c>
      <c r="N292" t="s">
        <v>392</v>
      </c>
    </row>
    <row r="293" spans="1:14" ht="11.25" customHeight="1">
      <c r="A293" t="s">
        <v>2191</v>
      </c>
      <c r="B293" t="s">
        <v>14</v>
      </c>
      <c r="C293" t="s">
        <v>3148</v>
      </c>
      <c r="D293" t="s">
        <v>3149</v>
      </c>
      <c r="E293" t="s">
        <v>3150</v>
      </c>
      <c r="F293" t="s">
        <v>3151</v>
      </c>
      <c r="G293" t="s">
        <v>17</v>
      </c>
      <c r="H293" t="s">
        <v>17</v>
      </c>
      <c r="I293" t="s">
        <v>2319</v>
      </c>
      <c r="J293" t="s">
        <v>17</v>
      </c>
      <c r="K293" t="s">
        <v>775</v>
      </c>
      <c r="L293" t="s">
        <v>2220</v>
      </c>
      <c r="M293" t="s">
        <v>2221</v>
      </c>
      <c r="N293" t="s">
        <v>392</v>
      </c>
    </row>
    <row r="294" spans="1:14" ht="11.25" customHeight="1">
      <c r="A294" t="s">
        <v>2191</v>
      </c>
      <c r="B294" t="s">
        <v>14</v>
      </c>
      <c r="C294" t="s">
        <v>3153</v>
      </c>
      <c r="D294" t="s">
        <v>3154</v>
      </c>
      <c r="E294" t="s">
        <v>3155</v>
      </c>
      <c r="F294" t="s">
        <v>2345</v>
      </c>
      <c r="G294" t="s">
        <v>17</v>
      </c>
      <c r="H294" t="s">
        <v>17</v>
      </c>
      <c r="I294" t="s">
        <v>3156</v>
      </c>
      <c r="J294" t="s">
        <v>17</v>
      </c>
      <c r="K294" t="s">
        <v>802</v>
      </c>
      <c r="L294" t="s">
        <v>802</v>
      </c>
      <c r="M294" t="s">
        <v>2480</v>
      </c>
      <c r="N294" t="s">
        <v>392</v>
      </c>
    </row>
    <row r="295" spans="1:14" ht="11.25" customHeight="1">
      <c r="A295" t="s">
        <v>2191</v>
      </c>
      <c r="B295" t="s">
        <v>14</v>
      </c>
      <c r="C295" t="s">
        <v>3157</v>
      </c>
      <c r="D295" t="s">
        <v>3158</v>
      </c>
      <c r="E295" t="s">
        <v>3159</v>
      </c>
      <c r="F295" t="s">
        <v>3160</v>
      </c>
      <c r="G295" t="s">
        <v>17</v>
      </c>
      <c r="H295" t="s">
        <v>17</v>
      </c>
      <c r="I295" t="s">
        <v>3161</v>
      </c>
      <c r="J295" t="s">
        <v>17</v>
      </c>
      <c r="K295" t="s">
        <v>870</v>
      </c>
      <c r="L295" t="s">
        <v>2197</v>
      </c>
      <c r="M295" t="s">
        <v>2198</v>
      </c>
      <c r="N295" t="s">
        <v>392</v>
      </c>
    </row>
    <row r="296" spans="1:14" ht="11.25" customHeight="1">
      <c r="A296" t="s">
        <v>2191</v>
      </c>
      <c r="B296" t="s">
        <v>14</v>
      </c>
      <c r="C296" t="s">
        <v>3157</v>
      </c>
      <c r="D296" t="s">
        <v>3158</v>
      </c>
      <c r="E296" t="s">
        <v>3159</v>
      </c>
      <c r="F296" t="s">
        <v>3160</v>
      </c>
      <c r="G296" t="s">
        <v>17</v>
      </c>
      <c r="H296" t="s">
        <v>17</v>
      </c>
      <c r="I296" t="s">
        <v>2319</v>
      </c>
      <c r="J296" t="s">
        <v>17</v>
      </c>
      <c r="K296" t="s">
        <v>870</v>
      </c>
      <c r="L296" t="s">
        <v>2197</v>
      </c>
      <c r="M296" t="s">
        <v>2198</v>
      </c>
      <c r="N296" t="s">
        <v>392</v>
      </c>
    </row>
    <row r="297" spans="1:14" ht="11.25" customHeight="1">
      <c r="A297" t="s">
        <v>2191</v>
      </c>
      <c r="B297" t="s">
        <v>14</v>
      </c>
      <c r="C297" t="s">
        <v>3162</v>
      </c>
      <c r="D297" t="s">
        <v>3163</v>
      </c>
      <c r="E297" t="s">
        <v>3164</v>
      </c>
      <c r="F297" t="s">
        <v>2248</v>
      </c>
      <c r="G297" t="s">
        <v>17</v>
      </c>
      <c r="H297" t="s">
        <v>17</v>
      </c>
      <c r="I297" t="s">
        <v>2297</v>
      </c>
      <c r="J297" t="s">
        <v>17</v>
      </c>
      <c r="K297" t="s">
        <v>775</v>
      </c>
      <c r="L297" t="s">
        <v>2236</v>
      </c>
      <c r="M297" t="s">
        <v>2237</v>
      </c>
      <c r="N297" t="s">
        <v>392</v>
      </c>
    </row>
    <row r="298" spans="1:14" ht="11.25" customHeight="1">
      <c r="A298" t="s">
        <v>2191</v>
      </c>
      <c r="B298" t="s">
        <v>14</v>
      </c>
      <c r="C298" t="s">
        <v>3162</v>
      </c>
      <c r="D298" t="s">
        <v>3163</v>
      </c>
      <c r="E298" t="s">
        <v>3164</v>
      </c>
      <c r="F298" t="s">
        <v>2248</v>
      </c>
      <c r="G298" t="s">
        <v>17</v>
      </c>
      <c r="H298" t="s">
        <v>17</v>
      </c>
      <c r="I298" t="s">
        <v>2297</v>
      </c>
      <c r="J298" t="s">
        <v>17</v>
      </c>
      <c r="K298" t="s">
        <v>870</v>
      </c>
      <c r="L298" t="s">
        <v>2236</v>
      </c>
      <c r="M298" t="s">
        <v>2237</v>
      </c>
      <c r="N298" t="s">
        <v>392</v>
      </c>
    </row>
    <row r="299" spans="1:14" ht="11.25" customHeight="1">
      <c r="A299" t="s">
        <v>2191</v>
      </c>
      <c r="B299" t="s">
        <v>14</v>
      </c>
      <c r="C299" t="s">
        <v>3162</v>
      </c>
      <c r="D299" t="s">
        <v>3163</v>
      </c>
      <c r="E299" t="s">
        <v>3164</v>
      </c>
      <c r="F299" t="s">
        <v>2248</v>
      </c>
      <c r="G299" t="s">
        <v>17</v>
      </c>
      <c r="H299" t="s">
        <v>17</v>
      </c>
      <c r="I299" t="s">
        <v>2297</v>
      </c>
      <c r="J299" t="s">
        <v>17</v>
      </c>
      <c r="K299" t="s">
        <v>838</v>
      </c>
      <c r="L299" t="s">
        <v>2236</v>
      </c>
      <c r="M299" t="s">
        <v>2237</v>
      </c>
      <c r="N299" t="s">
        <v>392</v>
      </c>
    </row>
    <row r="300" spans="1:14" ht="11.25" customHeight="1">
      <c r="A300" t="s">
        <v>2191</v>
      </c>
      <c r="B300" t="s">
        <v>14</v>
      </c>
      <c r="C300" t="s">
        <v>3162</v>
      </c>
      <c r="D300" t="s">
        <v>3163</v>
      </c>
      <c r="E300" t="s">
        <v>3164</v>
      </c>
      <c r="F300" t="s">
        <v>2248</v>
      </c>
      <c r="G300" t="s">
        <v>17</v>
      </c>
      <c r="H300" t="s">
        <v>17</v>
      </c>
      <c r="I300" t="s">
        <v>2235</v>
      </c>
      <c r="J300" t="s">
        <v>17</v>
      </c>
      <c r="K300" t="s">
        <v>870</v>
      </c>
      <c r="L300" t="s">
        <v>2197</v>
      </c>
      <c r="M300" t="s">
        <v>2198</v>
      </c>
      <c r="N300" t="s">
        <v>392</v>
      </c>
    </row>
    <row r="301" spans="1:14" ht="11.25" customHeight="1">
      <c r="A301" t="s">
        <v>2191</v>
      </c>
      <c r="B301" t="s">
        <v>14</v>
      </c>
      <c r="C301" t="s">
        <v>3165</v>
      </c>
      <c r="D301" t="s">
        <v>3166</v>
      </c>
      <c r="E301" t="s">
        <v>3167</v>
      </c>
      <c r="F301" t="s">
        <v>2451</v>
      </c>
      <c r="G301" t="s">
        <v>3168</v>
      </c>
      <c r="H301" t="s">
        <v>17</v>
      </c>
      <c r="I301" t="s">
        <v>2319</v>
      </c>
      <c r="J301" t="s">
        <v>17</v>
      </c>
      <c r="K301" t="s">
        <v>870</v>
      </c>
      <c r="L301" t="s">
        <v>2197</v>
      </c>
      <c r="M301" t="s">
        <v>2198</v>
      </c>
      <c r="N301" t="s">
        <v>392</v>
      </c>
    </row>
    <row r="302" spans="1:14" ht="11.25" customHeight="1">
      <c r="A302" t="s">
        <v>2191</v>
      </c>
      <c r="B302" t="s">
        <v>14</v>
      </c>
      <c r="C302" t="s">
        <v>3169</v>
      </c>
      <c r="D302" t="s">
        <v>3170</v>
      </c>
      <c r="E302" t="s">
        <v>3171</v>
      </c>
      <c r="F302" t="s">
        <v>3172</v>
      </c>
      <c r="G302" t="s">
        <v>17</v>
      </c>
      <c r="H302" t="s">
        <v>17</v>
      </c>
      <c r="I302" t="s">
        <v>2319</v>
      </c>
      <c r="J302" t="s">
        <v>17</v>
      </c>
      <c r="K302" t="s">
        <v>914</v>
      </c>
      <c r="L302" t="s">
        <v>2229</v>
      </c>
      <c r="M302" t="s">
        <v>2230</v>
      </c>
      <c r="N302" t="s">
        <v>392</v>
      </c>
    </row>
    <row r="303" spans="1:14" ht="11.25" customHeight="1">
      <c r="A303" t="s">
        <v>2191</v>
      </c>
      <c r="B303" t="s">
        <v>14</v>
      </c>
      <c r="C303" t="s">
        <v>3173</v>
      </c>
      <c r="D303" t="s">
        <v>3174</v>
      </c>
      <c r="E303" t="s">
        <v>3175</v>
      </c>
      <c r="F303" t="s">
        <v>2410</v>
      </c>
      <c r="G303" t="s">
        <v>3176</v>
      </c>
      <c r="H303" t="s">
        <v>17</v>
      </c>
      <c r="I303" t="s">
        <v>2319</v>
      </c>
      <c r="J303" t="s">
        <v>3177</v>
      </c>
      <c r="K303" t="s">
        <v>914</v>
      </c>
      <c r="L303" t="s">
        <v>2229</v>
      </c>
      <c r="M303" t="s">
        <v>2230</v>
      </c>
      <c r="N303" t="s">
        <v>392</v>
      </c>
    </row>
    <row r="304" spans="1:14" ht="11.25" customHeight="1">
      <c r="A304" t="s">
        <v>2191</v>
      </c>
      <c r="B304" t="s">
        <v>14</v>
      </c>
      <c r="C304" t="s">
        <v>3178</v>
      </c>
      <c r="D304" t="s">
        <v>3179</v>
      </c>
      <c r="E304" t="s">
        <v>3180</v>
      </c>
      <c r="F304" t="s">
        <v>2410</v>
      </c>
      <c r="G304" t="s">
        <v>17</v>
      </c>
      <c r="H304" t="s">
        <v>17</v>
      </c>
      <c r="I304" t="s">
        <v>2319</v>
      </c>
      <c r="J304" t="s">
        <v>17</v>
      </c>
      <c r="K304" t="s">
        <v>870</v>
      </c>
      <c r="L304" t="s">
        <v>2197</v>
      </c>
      <c r="M304" t="s">
        <v>2198</v>
      </c>
      <c r="N304" t="s">
        <v>392</v>
      </c>
    </row>
    <row r="305" spans="1:14" ht="11.25" customHeight="1">
      <c r="A305" t="s">
        <v>2191</v>
      </c>
      <c r="B305" t="s">
        <v>14</v>
      </c>
      <c r="C305" t="s">
        <v>3181</v>
      </c>
      <c r="D305" t="s">
        <v>3182</v>
      </c>
      <c r="E305" t="s">
        <v>3183</v>
      </c>
      <c r="F305" t="s">
        <v>2497</v>
      </c>
      <c r="G305" t="s">
        <v>17</v>
      </c>
      <c r="H305" t="s">
        <v>17</v>
      </c>
      <c r="I305" t="s">
        <v>2319</v>
      </c>
      <c r="J305" t="s">
        <v>17</v>
      </c>
      <c r="K305" t="s">
        <v>870</v>
      </c>
      <c r="L305" t="s">
        <v>2197</v>
      </c>
      <c r="M305" t="s">
        <v>2198</v>
      </c>
      <c r="N305" t="s">
        <v>392</v>
      </c>
    </row>
    <row r="306" spans="1:14" ht="11.25" customHeight="1">
      <c r="A306" t="s">
        <v>2191</v>
      </c>
      <c r="B306" t="s">
        <v>14</v>
      </c>
      <c r="C306" t="s">
        <v>3184</v>
      </c>
      <c r="D306" t="s">
        <v>3185</v>
      </c>
      <c r="E306" t="s">
        <v>3186</v>
      </c>
      <c r="F306" t="s">
        <v>2451</v>
      </c>
      <c r="G306" t="s">
        <v>3187</v>
      </c>
      <c r="H306" t="s">
        <v>17</v>
      </c>
      <c r="I306" t="s">
        <v>2319</v>
      </c>
      <c r="J306" t="s">
        <v>17</v>
      </c>
      <c r="K306" t="s">
        <v>870</v>
      </c>
      <c r="L306" t="s">
        <v>2197</v>
      </c>
      <c r="M306" t="s">
        <v>2198</v>
      </c>
      <c r="N306" t="s">
        <v>392</v>
      </c>
    </row>
    <row r="307" spans="1:14" ht="11.25" customHeight="1">
      <c r="A307" t="s">
        <v>2191</v>
      </c>
      <c r="B307" t="s">
        <v>14</v>
      </c>
      <c r="C307" t="s">
        <v>3188</v>
      </c>
      <c r="D307" t="s">
        <v>3189</v>
      </c>
      <c r="E307" t="s">
        <v>3190</v>
      </c>
      <c r="F307" t="s">
        <v>3191</v>
      </c>
      <c r="G307" t="s">
        <v>17</v>
      </c>
      <c r="H307" t="s">
        <v>17</v>
      </c>
      <c r="I307" t="s">
        <v>2841</v>
      </c>
      <c r="J307" t="s">
        <v>17</v>
      </c>
      <c r="K307" t="s">
        <v>870</v>
      </c>
      <c r="L307" t="s">
        <v>2197</v>
      </c>
      <c r="M307" t="s">
        <v>2198</v>
      </c>
      <c r="N307" t="s">
        <v>392</v>
      </c>
    </row>
    <row r="308" spans="1:14" ht="11.25" customHeight="1">
      <c r="A308" t="s">
        <v>2191</v>
      </c>
      <c r="B308" t="s">
        <v>14</v>
      </c>
      <c r="C308" t="s">
        <v>3188</v>
      </c>
      <c r="D308" t="s">
        <v>3189</v>
      </c>
      <c r="E308" t="s">
        <v>3190</v>
      </c>
      <c r="F308" t="s">
        <v>3191</v>
      </c>
      <c r="G308" t="s">
        <v>17</v>
      </c>
      <c r="H308" t="s">
        <v>17</v>
      </c>
      <c r="I308" t="s">
        <v>3192</v>
      </c>
      <c r="J308" t="s">
        <v>17</v>
      </c>
      <c r="K308" t="s">
        <v>775</v>
      </c>
      <c r="L308" t="s">
        <v>3193</v>
      </c>
      <c r="M308" t="s">
        <v>3194</v>
      </c>
      <c r="N308" t="s">
        <v>392</v>
      </c>
    </row>
    <row r="309" spans="1:14" ht="11.25" customHeight="1">
      <c r="A309" t="s">
        <v>2191</v>
      </c>
      <c r="B309" t="s">
        <v>14</v>
      </c>
      <c r="C309" t="s">
        <v>3188</v>
      </c>
      <c r="D309" t="s">
        <v>3189</v>
      </c>
      <c r="E309" t="s">
        <v>3190</v>
      </c>
      <c r="F309" t="s">
        <v>3191</v>
      </c>
      <c r="G309" t="s">
        <v>17</v>
      </c>
      <c r="H309" t="s">
        <v>17</v>
      </c>
      <c r="I309" t="s">
        <v>3192</v>
      </c>
      <c r="J309" t="s">
        <v>17</v>
      </c>
      <c r="K309" t="s">
        <v>838</v>
      </c>
      <c r="L309" t="s">
        <v>3193</v>
      </c>
      <c r="M309" t="s">
        <v>3194</v>
      </c>
      <c r="N309" t="s">
        <v>392</v>
      </c>
    </row>
    <row r="310" spans="1:14" ht="11.25" customHeight="1">
      <c r="A310" t="s">
        <v>2191</v>
      </c>
      <c r="B310" t="s">
        <v>14</v>
      </c>
      <c r="C310" t="s">
        <v>3188</v>
      </c>
      <c r="D310" t="s">
        <v>3189</v>
      </c>
      <c r="E310" t="s">
        <v>3190</v>
      </c>
      <c r="F310" t="s">
        <v>3191</v>
      </c>
      <c r="G310" t="s">
        <v>17</v>
      </c>
      <c r="H310" t="s">
        <v>17</v>
      </c>
      <c r="I310" t="s">
        <v>3195</v>
      </c>
      <c r="J310" t="s">
        <v>17</v>
      </c>
      <c r="K310" t="s">
        <v>2238</v>
      </c>
      <c r="L310" t="s">
        <v>2239</v>
      </c>
      <c r="M310" t="s">
        <v>2240</v>
      </c>
      <c r="N310" t="s">
        <v>392</v>
      </c>
    </row>
    <row r="311" spans="1:14" ht="11.25" customHeight="1">
      <c r="A311" t="s">
        <v>2191</v>
      </c>
      <c r="B311" t="s">
        <v>14</v>
      </c>
      <c r="C311" t="s">
        <v>3188</v>
      </c>
      <c r="D311" t="s">
        <v>3189</v>
      </c>
      <c r="E311" t="s">
        <v>3190</v>
      </c>
      <c r="F311" t="s">
        <v>3191</v>
      </c>
      <c r="G311" t="s">
        <v>17</v>
      </c>
      <c r="H311" t="s">
        <v>17</v>
      </c>
      <c r="I311" t="s">
        <v>2319</v>
      </c>
      <c r="J311" t="s">
        <v>17</v>
      </c>
      <c r="K311" t="s">
        <v>870</v>
      </c>
      <c r="L311" t="s">
        <v>2197</v>
      </c>
      <c r="M311" t="s">
        <v>2198</v>
      </c>
      <c r="N311" t="s">
        <v>392</v>
      </c>
    </row>
    <row r="312" spans="1:14" ht="11.25" customHeight="1">
      <c r="A312" t="s">
        <v>2191</v>
      </c>
      <c r="B312" t="s">
        <v>14</v>
      </c>
      <c r="C312" t="s">
        <v>3188</v>
      </c>
      <c r="D312" t="s">
        <v>3189</v>
      </c>
      <c r="E312" t="s">
        <v>3190</v>
      </c>
      <c r="F312" t="s">
        <v>3191</v>
      </c>
      <c r="G312" t="s">
        <v>17</v>
      </c>
      <c r="H312" t="s">
        <v>17</v>
      </c>
      <c r="I312" t="s">
        <v>2319</v>
      </c>
      <c r="J312" t="s">
        <v>17</v>
      </c>
      <c r="K312" t="s">
        <v>2238</v>
      </c>
      <c r="L312" t="s">
        <v>2239</v>
      </c>
      <c r="M312" t="s">
        <v>2240</v>
      </c>
      <c r="N312" t="s">
        <v>392</v>
      </c>
    </row>
    <row r="313" spans="1:14" ht="11.25" customHeight="1">
      <c r="A313" t="s">
        <v>2191</v>
      </c>
      <c r="B313" t="s">
        <v>14</v>
      </c>
      <c r="C313" t="s">
        <v>3196</v>
      </c>
      <c r="D313" t="s">
        <v>3197</v>
      </c>
      <c r="E313" t="s">
        <v>3198</v>
      </c>
      <c r="F313" t="s">
        <v>3199</v>
      </c>
      <c r="G313" t="s">
        <v>17</v>
      </c>
      <c r="H313" t="s">
        <v>17</v>
      </c>
      <c r="I313" t="s">
        <v>2196</v>
      </c>
      <c r="J313" t="s">
        <v>17</v>
      </c>
      <c r="K313" t="s">
        <v>870</v>
      </c>
      <c r="L313" t="s">
        <v>2197</v>
      </c>
      <c r="M313" t="s">
        <v>2198</v>
      </c>
      <c r="N313" t="s">
        <v>392</v>
      </c>
    </row>
    <row r="314" spans="1:14" ht="11.25" customHeight="1">
      <c r="A314" t="s">
        <v>2191</v>
      </c>
      <c r="B314" t="s">
        <v>14</v>
      </c>
      <c r="C314" t="s">
        <v>3200</v>
      </c>
      <c r="D314" t="s">
        <v>3201</v>
      </c>
      <c r="E314" t="s">
        <v>3155</v>
      </c>
      <c r="F314" t="s">
        <v>3202</v>
      </c>
      <c r="G314" t="s">
        <v>17</v>
      </c>
      <c r="H314" t="s">
        <v>17</v>
      </c>
      <c r="I314" t="s">
        <v>2315</v>
      </c>
      <c r="J314" t="s">
        <v>17</v>
      </c>
      <c r="K314" t="s">
        <v>870</v>
      </c>
      <c r="L314" t="s">
        <v>2197</v>
      </c>
      <c r="M314" t="s">
        <v>2198</v>
      </c>
      <c r="N314" t="s">
        <v>392</v>
      </c>
    </row>
    <row r="315" spans="1:14" ht="11.25" customHeight="1">
      <c r="A315" t="s">
        <v>2191</v>
      </c>
      <c r="B315" t="s">
        <v>14</v>
      </c>
      <c r="C315" t="s">
        <v>3203</v>
      </c>
      <c r="D315" t="s">
        <v>3204</v>
      </c>
      <c r="E315" t="s">
        <v>3198</v>
      </c>
      <c r="F315" t="s">
        <v>3205</v>
      </c>
      <c r="G315" t="s">
        <v>17</v>
      </c>
      <c r="H315" t="s">
        <v>17</v>
      </c>
      <c r="I315" t="s">
        <v>3206</v>
      </c>
      <c r="J315" t="s">
        <v>17</v>
      </c>
      <c r="K315" t="s">
        <v>930</v>
      </c>
      <c r="L315" t="s">
        <v>2218</v>
      </c>
      <c r="M315" t="s">
        <v>2219</v>
      </c>
      <c r="N315" t="s">
        <v>392</v>
      </c>
    </row>
    <row r="316" spans="1:14" ht="11.25" customHeight="1">
      <c r="A316" t="s">
        <v>2191</v>
      </c>
      <c r="B316" t="s">
        <v>14</v>
      </c>
      <c r="C316" t="s">
        <v>2204</v>
      </c>
      <c r="D316" t="s">
        <v>2205</v>
      </c>
      <c r="E316" t="s">
        <v>2206</v>
      </c>
      <c r="F316" t="s">
        <v>2207</v>
      </c>
      <c r="G316" t="s">
        <v>17</v>
      </c>
      <c r="H316" t="s">
        <v>17</v>
      </c>
      <c r="I316" t="s">
        <v>2196</v>
      </c>
      <c r="J316" t="s">
        <v>17</v>
      </c>
      <c r="K316" t="s">
        <v>3207</v>
      </c>
      <c r="L316" t="s">
        <v>3208</v>
      </c>
      <c r="M316" t="s">
        <v>3209</v>
      </c>
      <c r="N316" t="s">
        <v>395</v>
      </c>
    </row>
    <row r="317" spans="1:14" ht="11.25" customHeight="1">
      <c r="A317" t="s">
        <v>2191</v>
      </c>
      <c r="B317" t="s">
        <v>14</v>
      </c>
      <c r="C317" t="s">
        <v>2214</v>
      </c>
      <c r="D317" t="s">
        <v>2215</v>
      </c>
      <c r="E317" t="s">
        <v>2216</v>
      </c>
      <c r="F317" t="s">
        <v>2217</v>
      </c>
      <c r="G317" t="s">
        <v>17</v>
      </c>
      <c r="H317" t="s">
        <v>17</v>
      </c>
      <c r="I317" t="s">
        <v>3210</v>
      </c>
      <c r="J317" t="s">
        <v>17</v>
      </c>
      <c r="K317" t="s">
        <v>3207</v>
      </c>
      <c r="L317" t="s">
        <v>3208</v>
      </c>
      <c r="M317" t="s">
        <v>3209</v>
      </c>
      <c r="N317" t="s">
        <v>395</v>
      </c>
    </row>
    <row r="318" spans="1:14" ht="11.25" customHeight="1">
      <c r="A318" t="s">
        <v>2191</v>
      </c>
      <c r="B318" t="s">
        <v>14</v>
      </c>
      <c r="C318" t="s">
        <v>2225</v>
      </c>
      <c r="D318" t="s">
        <v>2226</v>
      </c>
      <c r="E318" t="s">
        <v>2227</v>
      </c>
      <c r="F318" t="s">
        <v>2217</v>
      </c>
      <c r="G318" t="s">
        <v>17</v>
      </c>
      <c r="H318" t="s">
        <v>17</v>
      </c>
      <c r="I318" t="s">
        <v>2228</v>
      </c>
      <c r="J318" t="s">
        <v>17</v>
      </c>
      <c r="K318" t="s">
        <v>3207</v>
      </c>
      <c r="L318" t="s">
        <v>3208</v>
      </c>
      <c r="M318" t="s">
        <v>3209</v>
      </c>
      <c r="N318" t="s">
        <v>395</v>
      </c>
    </row>
    <row r="319" spans="1:14" ht="11.25" customHeight="1">
      <c r="A319" t="s">
        <v>2191</v>
      </c>
      <c r="B319" t="s">
        <v>14</v>
      </c>
      <c r="C319" t="s">
        <v>2231</v>
      </c>
      <c r="D319" t="s">
        <v>2232</v>
      </c>
      <c r="E319" t="s">
        <v>2233</v>
      </c>
      <c r="F319" t="s">
        <v>2234</v>
      </c>
      <c r="G319" t="s">
        <v>17</v>
      </c>
      <c r="H319" t="s">
        <v>17</v>
      </c>
      <c r="I319" t="s">
        <v>2235</v>
      </c>
      <c r="J319" t="s">
        <v>17</v>
      </c>
      <c r="K319" t="s">
        <v>3207</v>
      </c>
      <c r="L319" t="s">
        <v>3208</v>
      </c>
      <c r="M319" t="s">
        <v>3209</v>
      </c>
      <c r="N319" t="s">
        <v>395</v>
      </c>
    </row>
    <row r="320" spans="1:14" ht="11.25" customHeight="1">
      <c r="A320" t="s">
        <v>2191</v>
      </c>
      <c r="B320" t="s">
        <v>14</v>
      </c>
      <c r="C320" t="s">
        <v>2250</v>
      </c>
      <c r="D320" t="s">
        <v>2251</v>
      </c>
      <c r="E320" t="s">
        <v>2252</v>
      </c>
      <c r="F320" t="s">
        <v>2253</v>
      </c>
      <c r="G320" t="s">
        <v>17</v>
      </c>
      <c r="H320" t="s">
        <v>17</v>
      </c>
      <c r="I320" t="s">
        <v>2196</v>
      </c>
      <c r="J320" t="s">
        <v>17</v>
      </c>
      <c r="K320" t="s">
        <v>3207</v>
      </c>
      <c r="L320" t="s">
        <v>3208</v>
      </c>
      <c r="M320" t="s">
        <v>3209</v>
      </c>
      <c r="N320" t="s">
        <v>395</v>
      </c>
    </row>
    <row r="321" spans="1:14" ht="11.25" customHeight="1">
      <c r="A321" t="s">
        <v>2191</v>
      </c>
      <c r="B321" t="s">
        <v>14</v>
      </c>
      <c r="C321" t="s">
        <v>2254</v>
      </c>
      <c r="D321" t="s">
        <v>2255</v>
      </c>
      <c r="E321" t="s">
        <v>2256</v>
      </c>
      <c r="F321" t="s">
        <v>2257</v>
      </c>
      <c r="G321" t="s">
        <v>17</v>
      </c>
      <c r="H321" t="s">
        <v>17</v>
      </c>
      <c r="I321" t="s">
        <v>2258</v>
      </c>
      <c r="J321" t="s">
        <v>17</v>
      </c>
      <c r="K321" t="s">
        <v>3207</v>
      </c>
      <c r="L321" t="s">
        <v>3208</v>
      </c>
      <c r="M321" t="s">
        <v>3209</v>
      </c>
      <c r="N321" t="s">
        <v>395</v>
      </c>
    </row>
    <row r="322" spans="1:14" ht="11.25" customHeight="1">
      <c r="A322" t="s">
        <v>2191</v>
      </c>
      <c r="B322" t="s">
        <v>14</v>
      </c>
      <c r="C322" t="s">
        <v>2281</v>
      </c>
      <c r="D322" t="s">
        <v>2282</v>
      </c>
      <c r="E322" t="s">
        <v>2283</v>
      </c>
      <c r="F322" t="s">
        <v>2253</v>
      </c>
      <c r="G322" t="s">
        <v>17</v>
      </c>
      <c r="H322" t="s">
        <v>17</v>
      </c>
      <c r="I322" t="s">
        <v>2196</v>
      </c>
      <c r="J322" t="s">
        <v>17</v>
      </c>
      <c r="K322" t="s">
        <v>3207</v>
      </c>
      <c r="L322" t="s">
        <v>3208</v>
      </c>
      <c r="M322" t="s">
        <v>3209</v>
      </c>
      <c r="N322" t="s">
        <v>395</v>
      </c>
    </row>
    <row r="323" spans="1:14" ht="11.25" customHeight="1">
      <c r="A323" t="s">
        <v>2191</v>
      </c>
      <c r="B323" t="s">
        <v>14</v>
      </c>
      <c r="C323" t="s">
        <v>2288</v>
      </c>
      <c r="D323" t="s">
        <v>2289</v>
      </c>
      <c r="E323" t="s">
        <v>2290</v>
      </c>
      <c r="F323" t="s">
        <v>2291</v>
      </c>
      <c r="G323" t="s">
        <v>17</v>
      </c>
      <c r="H323" t="s">
        <v>17</v>
      </c>
      <c r="I323" t="s">
        <v>2292</v>
      </c>
      <c r="J323" t="s">
        <v>17</v>
      </c>
      <c r="K323" t="s">
        <v>3207</v>
      </c>
      <c r="L323" t="s">
        <v>3208</v>
      </c>
      <c r="M323" t="s">
        <v>3209</v>
      </c>
      <c r="N323" t="s">
        <v>395</v>
      </c>
    </row>
    <row r="324" spans="1:14" ht="11.25" customHeight="1">
      <c r="A324" t="s">
        <v>2191</v>
      </c>
      <c r="B324" t="s">
        <v>14</v>
      </c>
      <c r="C324" t="s">
        <v>2305</v>
      </c>
      <c r="D324" t="s">
        <v>2306</v>
      </c>
      <c r="E324" t="s">
        <v>2307</v>
      </c>
      <c r="F324" t="s">
        <v>2308</v>
      </c>
      <c r="G324" t="s">
        <v>17</v>
      </c>
      <c r="H324" t="s">
        <v>17</v>
      </c>
      <c r="I324" t="s">
        <v>2235</v>
      </c>
      <c r="J324" t="s">
        <v>17</v>
      </c>
      <c r="K324" t="s">
        <v>3207</v>
      </c>
      <c r="L324" t="s">
        <v>3208</v>
      </c>
      <c r="M324" t="s">
        <v>3209</v>
      </c>
      <c r="N324" t="s">
        <v>395</v>
      </c>
    </row>
    <row r="325" spans="1:14" ht="11.25" customHeight="1">
      <c r="A325" t="s">
        <v>2191</v>
      </c>
      <c r="B325" t="s">
        <v>14</v>
      </c>
      <c r="C325" t="s">
        <v>2311</v>
      </c>
      <c r="D325" t="s">
        <v>2312</v>
      </c>
      <c r="E325" t="s">
        <v>2307</v>
      </c>
      <c r="F325" t="s">
        <v>2313</v>
      </c>
      <c r="G325" t="s">
        <v>17</v>
      </c>
      <c r="H325" t="s">
        <v>17</v>
      </c>
      <c r="I325" t="s">
        <v>2235</v>
      </c>
      <c r="J325" t="s">
        <v>17</v>
      </c>
      <c r="K325" t="s">
        <v>3207</v>
      </c>
      <c r="L325" t="s">
        <v>3208</v>
      </c>
      <c r="M325" t="s">
        <v>3209</v>
      </c>
      <c r="N325" t="s">
        <v>395</v>
      </c>
    </row>
    <row r="326" spans="1:14" ht="11.25" customHeight="1">
      <c r="A326" t="s">
        <v>2191</v>
      </c>
      <c r="B326" t="s">
        <v>14</v>
      </c>
      <c r="C326" t="s">
        <v>2320</v>
      </c>
      <c r="D326" t="s">
        <v>2321</v>
      </c>
      <c r="E326" t="s">
        <v>2307</v>
      </c>
      <c r="F326" t="s">
        <v>2322</v>
      </c>
      <c r="G326" t="s">
        <v>17</v>
      </c>
      <c r="H326" t="s">
        <v>17</v>
      </c>
      <c r="I326" t="s">
        <v>2319</v>
      </c>
      <c r="J326" t="s">
        <v>17</v>
      </c>
      <c r="K326" t="s">
        <v>3207</v>
      </c>
      <c r="L326" t="s">
        <v>3208</v>
      </c>
      <c r="M326" t="s">
        <v>3209</v>
      </c>
      <c r="N326" t="s">
        <v>395</v>
      </c>
    </row>
    <row r="327" spans="1:14" ht="11.25" customHeight="1">
      <c r="A327" t="s">
        <v>2191</v>
      </c>
      <c r="B327" t="s">
        <v>14</v>
      </c>
      <c r="C327" t="s">
        <v>2323</v>
      </c>
      <c r="D327" t="s">
        <v>2324</v>
      </c>
      <c r="E327" t="s">
        <v>2307</v>
      </c>
      <c r="F327" t="s">
        <v>2325</v>
      </c>
      <c r="G327" t="s">
        <v>17</v>
      </c>
      <c r="H327" t="s">
        <v>17</v>
      </c>
      <c r="I327" t="s">
        <v>2326</v>
      </c>
      <c r="J327" t="s">
        <v>17</v>
      </c>
      <c r="K327" t="s">
        <v>3207</v>
      </c>
      <c r="L327" t="s">
        <v>3208</v>
      </c>
      <c r="M327" t="s">
        <v>3209</v>
      </c>
      <c r="N327" t="s">
        <v>395</v>
      </c>
    </row>
    <row r="328" spans="1:14" ht="11.25" customHeight="1">
      <c r="A328" t="s">
        <v>2191</v>
      </c>
      <c r="B328" t="s">
        <v>14</v>
      </c>
      <c r="C328" t="s">
        <v>2327</v>
      </c>
      <c r="D328" t="s">
        <v>2328</v>
      </c>
      <c r="E328" t="s">
        <v>2307</v>
      </c>
      <c r="F328" t="s">
        <v>2329</v>
      </c>
      <c r="G328" t="s">
        <v>17</v>
      </c>
      <c r="H328" t="s">
        <v>17</v>
      </c>
      <c r="I328" t="s">
        <v>2319</v>
      </c>
      <c r="J328" t="s">
        <v>17</v>
      </c>
      <c r="K328" t="s">
        <v>3207</v>
      </c>
      <c r="L328" t="s">
        <v>3208</v>
      </c>
      <c r="M328" t="s">
        <v>3209</v>
      </c>
      <c r="N328" t="s">
        <v>395</v>
      </c>
    </row>
    <row r="329" spans="1:14" ht="11.25" customHeight="1">
      <c r="A329" t="s">
        <v>2191</v>
      </c>
      <c r="B329" t="s">
        <v>14</v>
      </c>
      <c r="C329" t="s">
        <v>2330</v>
      </c>
      <c r="D329" t="s">
        <v>2331</v>
      </c>
      <c r="E329" t="s">
        <v>2307</v>
      </c>
      <c r="F329" t="s">
        <v>2332</v>
      </c>
      <c r="G329" t="s">
        <v>17</v>
      </c>
      <c r="H329" t="s">
        <v>17</v>
      </c>
      <c r="I329" t="s">
        <v>2333</v>
      </c>
      <c r="J329" t="s">
        <v>17</v>
      </c>
      <c r="K329" t="s">
        <v>3207</v>
      </c>
      <c r="L329" t="s">
        <v>3208</v>
      </c>
      <c r="M329" t="s">
        <v>3209</v>
      </c>
      <c r="N329" t="s">
        <v>395</v>
      </c>
    </row>
    <row r="330" spans="1:14" ht="11.25" customHeight="1">
      <c r="A330" t="s">
        <v>2191</v>
      </c>
      <c r="B330" t="s">
        <v>14</v>
      </c>
      <c r="C330" t="s">
        <v>2353</v>
      </c>
      <c r="D330" t="s">
        <v>2354</v>
      </c>
      <c r="E330" t="s">
        <v>2355</v>
      </c>
      <c r="F330" t="s">
        <v>2345</v>
      </c>
      <c r="G330" t="s">
        <v>17</v>
      </c>
      <c r="H330" t="s">
        <v>17</v>
      </c>
      <c r="I330" t="s">
        <v>3161</v>
      </c>
      <c r="J330" t="s">
        <v>17</v>
      </c>
      <c r="K330" t="s">
        <v>3207</v>
      </c>
      <c r="L330" t="s">
        <v>3208</v>
      </c>
      <c r="M330" t="s">
        <v>3209</v>
      </c>
      <c r="N330" t="s">
        <v>395</v>
      </c>
    </row>
    <row r="331" spans="1:14" ht="11.25" customHeight="1">
      <c r="A331" t="s">
        <v>2191</v>
      </c>
      <c r="B331" t="s">
        <v>14</v>
      </c>
      <c r="C331" t="s">
        <v>2356</v>
      </c>
      <c r="D331" t="s">
        <v>2357</v>
      </c>
      <c r="E331" t="s">
        <v>2358</v>
      </c>
      <c r="F331" t="s">
        <v>2195</v>
      </c>
      <c r="G331" t="s">
        <v>17</v>
      </c>
      <c r="H331" t="s">
        <v>17</v>
      </c>
      <c r="I331" t="s">
        <v>2196</v>
      </c>
      <c r="J331" t="s">
        <v>17</v>
      </c>
      <c r="K331" t="s">
        <v>3207</v>
      </c>
      <c r="L331" t="s">
        <v>3208</v>
      </c>
      <c r="M331" t="s">
        <v>3209</v>
      </c>
      <c r="N331" t="s">
        <v>395</v>
      </c>
    </row>
    <row r="332" spans="1:14" ht="11.25" customHeight="1">
      <c r="A332" t="s">
        <v>2191</v>
      </c>
      <c r="B332" t="s">
        <v>14</v>
      </c>
      <c r="C332" t="s">
        <v>2356</v>
      </c>
      <c r="D332" t="s">
        <v>2357</v>
      </c>
      <c r="E332" t="s">
        <v>2358</v>
      </c>
      <c r="F332" t="s">
        <v>2195</v>
      </c>
      <c r="G332" t="s">
        <v>17</v>
      </c>
      <c r="H332" t="s">
        <v>17</v>
      </c>
      <c r="I332" t="s">
        <v>2360</v>
      </c>
      <c r="J332" t="s">
        <v>17</v>
      </c>
      <c r="K332" t="s">
        <v>3207</v>
      </c>
      <c r="L332" t="s">
        <v>3208</v>
      </c>
      <c r="M332" t="s">
        <v>3209</v>
      </c>
      <c r="N332" t="s">
        <v>395</v>
      </c>
    </row>
    <row r="333" spans="1:14" ht="11.25" customHeight="1">
      <c r="A333" t="s">
        <v>2191</v>
      </c>
      <c r="B333" t="s">
        <v>14</v>
      </c>
      <c r="C333" t="s">
        <v>2367</v>
      </c>
      <c r="D333" t="s">
        <v>2368</v>
      </c>
      <c r="E333" t="s">
        <v>2369</v>
      </c>
      <c r="F333" t="s">
        <v>2280</v>
      </c>
      <c r="G333" t="s">
        <v>2370</v>
      </c>
      <c r="H333" t="s">
        <v>17</v>
      </c>
      <c r="I333" t="s">
        <v>3211</v>
      </c>
      <c r="J333" t="s">
        <v>17</v>
      </c>
      <c r="K333" t="s">
        <v>3212</v>
      </c>
      <c r="L333" t="s">
        <v>1069</v>
      </c>
      <c r="M333" t="s">
        <v>3213</v>
      </c>
      <c r="N333" t="s">
        <v>395</v>
      </c>
    </row>
    <row r="334" spans="1:14" ht="11.25" customHeight="1">
      <c r="A334" t="s">
        <v>2191</v>
      </c>
      <c r="B334" t="s">
        <v>14</v>
      </c>
      <c r="C334" t="s">
        <v>2375</v>
      </c>
      <c r="D334" t="s">
        <v>2376</v>
      </c>
      <c r="E334" t="s">
        <v>2377</v>
      </c>
      <c r="F334" t="s">
        <v>2207</v>
      </c>
      <c r="G334" t="s">
        <v>2378</v>
      </c>
      <c r="H334" t="s">
        <v>17</v>
      </c>
      <c r="I334" t="s">
        <v>2486</v>
      </c>
      <c r="J334" t="s">
        <v>17</v>
      </c>
      <c r="K334" t="s">
        <v>3207</v>
      </c>
      <c r="L334" t="s">
        <v>3208</v>
      </c>
      <c r="M334" t="s">
        <v>3209</v>
      </c>
      <c r="N334" t="s">
        <v>395</v>
      </c>
    </row>
    <row r="335" spans="1:14" ht="11.25" customHeight="1">
      <c r="A335" t="s">
        <v>2191</v>
      </c>
      <c r="B335" t="s">
        <v>14</v>
      </c>
      <c r="C335" t="s">
        <v>2395</v>
      </c>
      <c r="D335" t="s">
        <v>2396</v>
      </c>
      <c r="E335" t="s">
        <v>2397</v>
      </c>
      <c r="F335" t="s">
        <v>2398</v>
      </c>
      <c r="G335" t="s">
        <v>17</v>
      </c>
      <c r="H335" t="s">
        <v>17</v>
      </c>
      <c r="I335" t="s">
        <v>2442</v>
      </c>
      <c r="J335" t="s">
        <v>17</v>
      </c>
      <c r="K335" t="s">
        <v>3207</v>
      </c>
      <c r="L335" t="s">
        <v>3208</v>
      </c>
      <c r="M335" t="s">
        <v>3209</v>
      </c>
      <c r="N335" t="s">
        <v>395</v>
      </c>
    </row>
    <row r="336" spans="1:14" ht="11.25" customHeight="1">
      <c r="A336" t="s">
        <v>2191</v>
      </c>
      <c r="B336" t="s">
        <v>14</v>
      </c>
      <c r="C336" t="s">
        <v>2411</v>
      </c>
      <c r="D336" t="s">
        <v>2412</v>
      </c>
      <c r="E336" t="s">
        <v>2413</v>
      </c>
      <c r="F336" t="s">
        <v>2414</v>
      </c>
      <c r="G336" t="s">
        <v>17</v>
      </c>
      <c r="H336" t="s">
        <v>17</v>
      </c>
      <c r="I336" t="s">
        <v>2319</v>
      </c>
      <c r="J336" t="s">
        <v>17</v>
      </c>
      <c r="K336" t="s">
        <v>3207</v>
      </c>
      <c r="L336" t="s">
        <v>3214</v>
      </c>
      <c r="M336" t="s">
        <v>3215</v>
      </c>
      <c r="N336" t="s">
        <v>395</v>
      </c>
    </row>
    <row r="337" spans="1:14" ht="11.25" customHeight="1">
      <c r="A337" t="s">
        <v>2191</v>
      </c>
      <c r="B337" t="s">
        <v>14</v>
      </c>
      <c r="C337" t="s">
        <v>2411</v>
      </c>
      <c r="D337" t="s">
        <v>2412</v>
      </c>
      <c r="E337" t="s">
        <v>2413</v>
      </c>
      <c r="F337" t="s">
        <v>2414</v>
      </c>
      <c r="G337" t="s">
        <v>17</v>
      </c>
      <c r="H337" t="s">
        <v>17</v>
      </c>
      <c r="I337" t="s">
        <v>2319</v>
      </c>
      <c r="J337" t="s">
        <v>17</v>
      </c>
      <c r="K337" t="s">
        <v>3212</v>
      </c>
      <c r="L337" t="s">
        <v>3216</v>
      </c>
      <c r="M337" t="s">
        <v>3217</v>
      </c>
      <c r="N337" t="s">
        <v>395</v>
      </c>
    </row>
    <row r="338" spans="1:14" ht="11.25" customHeight="1">
      <c r="A338" t="s">
        <v>2191</v>
      </c>
      <c r="B338" t="s">
        <v>14</v>
      </c>
      <c r="C338" t="s">
        <v>2423</v>
      </c>
      <c r="D338" t="s">
        <v>2424</v>
      </c>
      <c r="E338" t="s">
        <v>2425</v>
      </c>
      <c r="F338" t="s">
        <v>2280</v>
      </c>
      <c r="G338" t="s">
        <v>17</v>
      </c>
      <c r="H338" t="s">
        <v>17</v>
      </c>
      <c r="I338" t="s">
        <v>2427</v>
      </c>
      <c r="J338" t="s">
        <v>17</v>
      </c>
      <c r="K338" t="s">
        <v>3207</v>
      </c>
      <c r="L338" t="s">
        <v>3218</v>
      </c>
      <c r="M338" t="s">
        <v>3219</v>
      </c>
      <c r="N338" t="s">
        <v>395</v>
      </c>
    </row>
    <row r="339" spans="1:14" ht="11.25" customHeight="1">
      <c r="A339" t="s">
        <v>2191</v>
      </c>
      <c r="B339" t="s">
        <v>14</v>
      </c>
      <c r="C339" t="s">
        <v>2438</v>
      </c>
      <c r="D339" t="s">
        <v>2439</v>
      </c>
      <c r="E339" t="s">
        <v>2440</v>
      </c>
      <c r="F339" t="s">
        <v>2441</v>
      </c>
      <c r="G339" t="s">
        <v>17</v>
      </c>
      <c r="H339" t="s">
        <v>17</v>
      </c>
      <c r="I339" t="s">
        <v>2443</v>
      </c>
      <c r="J339" t="s">
        <v>17</v>
      </c>
      <c r="K339" t="s">
        <v>3207</v>
      </c>
      <c r="L339" t="s">
        <v>3208</v>
      </c>
      <c r="M339" t="s">
        <v>3209</v>
      </c>
      <c r="N339" t="s">
        <v>395</v>
      </c>
    </row>
    <row r="340" spans="1:14" ht="11.25" customHeight="1">
      <c r="A340" t="s">
        <v>2191</v>
      </c>
      <c r="B340" t="s">
        <v>14</v>
      </c>
      <c r="C340" t="s">
        <v>2438</v>
      </c>
      <c r="D340" t="s">
        <v>2439</v>
      </c>
      <c r="E340" t="s">
        <v>2440</v>
      </c>
      <c r="F340" t="s">
        <v>2441</v>
      </c>
      <c r="G340" t="s">
        <v>17</v>
      </c>
      <c r="H340" t="s">
        <v>17</v>
      </c>
      <c r="I340" t="s">
        <v>2841</v>
      </c>
      <c r="J340" t="s">
        <v>17</v>
      </c>
      <c r="K340" t="s">
        <v>3207</v>
      </c>
      <c r="L340" t="s">
        <v>3208</v>
      </c>
      <c r="M340" t="s">
        <v>3209</v>
      </c>
      <c r="N340" t="s">
        <v>395</v>
      </c>
    </row>
    <row r="341" spans="1:14" ht="11.25" customHeight="1">
      <c r="A341" t="s">
        <v>2191</v>
      </c>
      <c r="B341" t="s">
        <v>14</v>
      </c>
      <c r="C341" t="s">
        <v>2438</v>
      </c>
      <c r="D341" t="s">
        <v>2439</v>
      </c>
      <c r="E341" t="s">
        <v>2440</v>
      </c>
      <c r="F341" t="s">
        <v>2441</v>
      </c>
      <c r="G341" t="s">
        <v>17</v>
      </c>
      <c r="H341" t="s">
        <v>17</v>
      </c>
      <c r="I341" t="s">
        <v>2319</v>
      </c>
      <c r="J341" t="s">
        <v>17</v>
      </c>
      <c r="K341" t="s">
        <v>3207</v>
      </c>
      <c r="L341" t="s">
        <v>3208</v>
      </c>
      <c r="M341" t="s">
        <v>3209</v>
      </c>
      <c r="N341" t="s">
        <v>395</v>
      </c>
    </row>
    <row r="342" spans="1:14" ht="11.25" customHeight="1">
      <c r="A342" t="s">
        <v>2191</v>
      </c>
      <c r="B342" t="s">
        <v>14</v>
      </c>
      <c r="C342" t="s">
        <v>2510</v>
      </c>
      <c r="D342" t="s">
        <v>2511</v>
      </c>
      <c r="E342" t="s">
        <v>2512</v>
      </c>
      <c r="F342" t="s">
        <v>2513</v>
      </c>
      <c r="G342" t="s">
        <v>17</v>
      </c>
      <c r="H342" t="s">
        <v>17</v>
      </c>
      <c r="I342" t="s">
        <v>2235</v>
      </c>
      <c r="J342" t="s">
        <v>17</v>
      </c>
      <c r="K342" t="s">
        <v>3207</v>
      </c>
      <c r="L342" t="s">
        <v>3208</v>
      </c>
      <c r="M342" t="s">
        <v>3209</v>
      </c>
      <c r="N342" t="s">
        <v>395</v>
      </c>
    </row>
    <row r="343" spans="1:14" ht="11.25" customHeight="1">
      <c r="A343" t="s">
        <v>2191</v>
      </c>
      <c r="B343" t="s">
        <v>14</v>
      </c>
      <c r="C343" t="s">
        <v>2514</v>
      </c>
      <c r="D343" t="s">
        <v>2515</v>
      </c>
      <c r="E343" t="s">
        <v>2516</v>
      </c>
      <c r="F343" t="s">
        <v>2257</v>
      </c>
      <c r="G343" t="s">
        <v>17</v>
      </c>
      <c r="H343" t="s">
        <v>17</v>
      </c>
      <c r="I343" t="s">
        <v>2442</v>
      </c>
      <c r="J343" t="s">
        <v>17</v>
      </c>
      <c r="K343" t="s">
        <v>3207</v>
      </c>
      <c r="L343" t="s">
        <v>3208</v>
      </c>
      <c r="M343" t="s">
        <v>3209</v>
      </c>
      <c r="N343" t="s">
        <v>395</v>
      </c>
    </row>
    <row r="344" spans="1:14" ht="11.25" customHeight="1">
      <c r="A344" t="s">
        <v>2191</v>
      </c>
      <c r="B344" t="s">
        <v>14</v>
      </c>
      <c r="C344" t="s">
        <v>2520</v>
      </c>
      <c r="D344" t="s">
        <v>2521</v>
      </c>
      <c r="E344" t="s">
        <v>2522</v>
      </c>
      <c r="F344" t="s">
        <v>2513</v>
      </c>
      <c r="G344" t="s">
        <v>17</v>
      </c>
      <c r="H344" t="s">
        <v>17</v>
      </c>
      <c r="I344" t="s">
        <v>2235</v>
      </c>
      <c r="J344" t="s">
        <v>17</v>
      </c>
      <c r="K344" t="s">
        <v>3207</v>
      </c>
      <c r="L344" t="s">
        <v>3208</v>
      </c>
      <c r="M344" t="s">
        <v>3209</v>
      </c>
      <c r="N344" t="s">
        <v>395</v>
      </c>
    </row>
    <row r="345" spans="1:14" ht="11.25" customHeight="1">
      <c r="A345" t="s">
        <v>2191</v>
      </c>
      <c r="B345" t="s">
        <v>14</v>
      </c>
      <c r="C345" t="s">
        <v>2527</v>
      </c>
      <c r="D345" t="s">
        <v>2528</v>
      </c>
      <c r="E345" t="s">
        <v>2529</v>
      </c>
      <c r="F345" t="s">
        <v>2530</v>
      </c>
      <c r="G345" t="s">
        <v>2531</v>
      </c>
      <c r="H345" t="s">
        <v>17</v>
      </c>
      <c r="I345" t="s">
        <v>2532</v>
      </c>
      <c r="J345" t="s">
        <v>17</v>
      </c>
      <c r="K345" t="s">
        <v>3207</v>
      </c>
      <c r="L345" t="s">
        <v>3208</v>
      </c>
      <c r="M345" t="s">
        <v>3209</v>
      </c>
      <c r="N345" t="s">
        <v>395</v>
      </c>
    </row>
    <row r="346" spans="1:14" ht="11.25" customHeight="1">
      <c r="A346" t="s">
        <v>2191</v>
      </c>
      <c r="B346" t="s">
        <v>14</v>
      </c>
      <c r="C346" t="s">
        <v>2540</v>
      </c>
      <c r="D346" t="s">
        <v>2541</v>
      </c>
      <c r="E346" t="s">
        <v>2542</v>
      </c>
      <c r="F346" t="s">
        <v>2234</v>
      </c>
      <c r="G346" t="s">
        <v>17</v>
      </c>
      <c r="H346" t="s">
        <v>17</v>
      </c>
      <c r="I346" t="s">
        <v>2235</v>
      </c>
      <c r="J346" t="s">
        <v>17</v>
      </c>
      <c r="K346" t="s">
        <v>3207</v>
      </c>
      <c r="L346" t="s">
        <v>3208</v>
      </c>
      <c r="M346" t="s">
        <v>3209</v>
      </c>
      <c r="N346" t="s">
        <v>395</v>
      </c>
    </row>
    <row r="347" spans="1:14" ht="11.25" customHeight="1">
      <c r="A347" t="s">
        <v>2191</v>
      </c>
      <c r="B347" t="s">
        <v>14</v>
      </c>
      <c r="C347" t="s">
        <v>2562</v>
      </c>
      <c r="D347" t="s">
        <v>2563</v>
      </c>
      <c r="E347" t="s">
        <v>2564</v>
      </c>
      <c r="F347" t="s">
        <v>2248</v>
      </c>
      <c r="G347" t="s">
        <v>17</v>
      </c>
      <c r="H347" t="s">
        <v>17</v>
      </c>
      <c r="I347" t="s">
        <v>2565</v>
      </c>
      <c r="J347" t="s">
        <v>17</v>
      </c>
      <c r="K347" t="s">
        <v>3212</v>
      </c>
      <c r="L347" t="s">
        <v>3220</v>
      </c>
      <c r="M347" t="s">
        <v>3221</v>
      </c>
      <c r="N347" t="s">
        <v>395</v>
      </c>
    </row>
    <row r="348" spans="1:14" ht="11.25" customHeight="1">
      <c r="A348" t="s">
        <v>2191</v>
      </c>
      <c r="B348" t="s">
        <v>14</v>
      </c>
      <c r="C348" t="s">
        <v>2572</v>
      </c>
      <c r="D348" t="s">
        <v>2573</v>
      </c>
      <c r="E348" t="s">
        <v>2574</v>
      </c>
      <c r="F348" t="s">
        <v>2530</v>
      </c>
      <c r="G348" t="s">
        <v>17</v>
      </c>
      <c r="H348" t="s">
        <v>17</v>
      </c>
      <c r="I348" t="s">
        <v>2319</v>
      </c>
      <c r="J348" t="s">
        <v>17</v>
      </c>
      <c r="K348" t="s">
        <v>3207</v>
      </c>
      <c r="L348" t="s">
        <v>3208</v>
      </c>
      <c r="M348" t="s">
        <v>3209</v>
      </c>
      <c r="N348" t="s">
        <v>395</v>
      </c>
    </row>
    <row r="349" spans="1:14" ht="11.25" customHeight="1">
      <c r="A349" t="s">
        <v>2191</v>
      </c>
      <c r="B349" t="s">
        <v>14</v>
      </c>
      <c r="C349" t="s">
        <v>2587</v>
      </c>
      <c r="D349" t="s">
        <v>2588</v>
      </c>
      <c r="E349" t="s">
        <v>2589</v>
      </c>
      <c r="F349" t="s">
        <v>2590</v>
      </c>
      <c r="G349" t="s">
        <v>17</v>
      </c>
      <c r="H349" t="s">
        <v>17</v>
      </c>
      <c r="I349" t="s">
        <v>2235</v>
      </c>
      <c r="J349" t="s">
        <v>17</v>
      </c>
      <c r="K349" t="s">
        <v>3207</v>
      </c>
      <c r="L349" t="s">
        <v>3208</v>
      </c>
      <c r="M349" t="s">
        <v>3209</v>
      </c>
      <c r="N349" t="s">
        <v>395</v>
      </c>
    </row>
    <row r="350" spans="1:14" ht="11.25" customHeight="1">
      <c r="A350" t="s">
        <v>2191</v>
      </c>
      <c r="B350" t="s">
        <v>14</v>
      </c>
      <c r="C350" t="s">
        <v>2597</v>
      </c>
      <c r="D350" t="s">
        <v>2598</v>
      </c>
      <c r="E350" t="s">
        <v>2599</v>
      </c>
      <c r="F350" t="s">
        <v>2600</v>
      </c>
      <c r="G350" t="s">
        <v>17</v>
      </c>
      <c r="H350" t="s">
        <v>17</v>
      </c>
      <c r="I350" t="s">
        <v>2319</v>
      </c>
      <c r="J350" t="s">
        <v>17</v>
      </c>
      <c r="K350" t="s">
        <v>3207</v>
      </c>
      <c r="L350" t="s">
        <v>3222</v>
      </c>
      <c r="M350" t="s">
        <v>3223</v>
      </c>
      <c r="N350" t="s">
        <v>395</v>
      </c>
    </row>
    <row r="351" spans="1:14" ht="11.25" customHeight="1">
      <c r="A351" t="s">
        <v>2191</v>
      </c>
      <c r="B351" t="s">
        <v>14</v>
      </c>
      <c r="C351" t="s">
        <v>2601</v>
      </c>
      <c r="D351" t="s">
        <v>2602</v>
      </c>
      <c r="E351" t="s">
        <v>2603</v>
      </c>
      <c r="F351" t="s">
        <v>2398</v>
      </c>
      <c r="G351" t="s">
        <v>17</v>
      </c>
      <c r="H351" t="s">
        <v>17</v>
      </c>
      <c r="I351" t="s">
        <v>3224</v>
      </c>
      <c r="J351" t="s">
        <v>17</v>
      </c>
      <c r="K351" t="s">
        <v>3207</v>
      </c>
      <c r="L351" t="s">
        <v>3208</v>
      </c>
      <c r="M351" t="s">
        <v>3209</v>
      </c>
      <c r="N351" t="s">
        <v>395</v>
      </c>
    </row>
    <row r="352" spans="1:14" ht="11.25" customHeight="1">
      <c r="A352" t="s">
        <v>2191</v>
      </c>
      <c r="B352" t="s">
        <v>14</v>
      </c>
      <c r="C352" t="s">
        <v>2614</v>
      </c>
      <c r="D352" t="s">
        <v>2615</v>
      </c>
      <c r="E352" t="s">
        <v>2616</v>
      </c>
      <c r="F352" t="s">
        <v>2590</v>
      </c>
      <c r="G352" t="s">
        <v>17</v>
      </c>
      <c r="H352" t="s">
        <v>17</v>
      </c>
      <c r="I352" t="s">
        <v>2235</v>
      </c>
      <c r="J352" t="s">
        <v>17</v>
      </c>
      <c r="K352" t="s">
        <v>3207</v>
      </c>
      <c r="L352" t="s">
        <v>3208</v>
      </c>
      <c r="M352" t="s">
        <v>3209</v>
      </c>
      <c r="N352" t="s">
        <v>395</v>
      </c>
    </row>
    <row r="353" spans="1:14" ht="11.25" customHeight="1">
      <c r="A353" t="s">
        <v>2191</v>
      </c>
      <c r="B353" t="s">
        <v>14</v>
      </c>
      <c r="C353" t="s">
        <v>2623</v>
      </c>
      <c r="D353" t="s">
        <v>2624</v>
      </c>
      <c r="E353" t="s">
        <v>2625</v>
      </c>
      <c r="F353" t="s">
        <v>2414</v>
      </c>
      <c r="G353" t="s">
        <v>17</v>
      </c>
      <c r="H353" t="s">
        <v>2626</v>
      </c>
      <c r="I353" t="s">
        <v>2319</v>
      </c>
      <c r="J353" t="s">
        <v>2626</v>
      </c>
      <c r="K353" t="s">
        <v>3207</v>
      </c>
      <c r="L353" t="s">
        <v>3208</v>
      </c>
      <c r="M353" t="s">
        <v>3209</v>
      </c>
      <c r="N353" t="s">
        <v>395</v>
      </c>
    </row>
    <row r="354" spans="1:14" ht="11.25" customHeight="1">
      <c r="A354" t="s">
        <v>2191</v>
      </c>
      <c r="B354" t="s">
        <v>14</v>
      </c>
      <c r="C354" t="s">
        <v>2634</v>
      </c>
      <c r="D354" t="s">
        <v>2635</v>
      </c>
      <c r="E354" t="s">
        <v>2636</v>
      </c>
      <c r="F354" t="s">
        <v>2530</v>
      </c>
      <c r="G354" t="s">
        <v>17</v>
      </c>
      <c r="H354" t="s">
        <v>17</v>
      </c>
      <c r="I354" t="s">
        <v>2319</v>
      </c>
      <c r="J354" t="s">
        <v>17</v>
      </c>
      <c r="K354" t="s">
        <v>3207</v>
      </c>
      <c r="L354" t="s">
        <v>3208</v>
      </c>
      <c r="M354" t="s">
        <v>3209</v>
      </c>
      <c r="N354" t="s">
        <v>395</v>
      </c>
    </row>
    <row r="355" spans="1:14" ht="11.25" customHeight="1">
      <c r="A355" t="s">
        <v>2191</v>
      </c>
      <c r="B355" t="s">
        <v>14</v>
      </c>
      <c r="C355" t="s">
        <v>2637</v>
      </c>
      <c r="D355" t="s">
        <v>2638</v>
      </c>
      <c r="E355" t="s">
        <v>2639</v>
      </c>
      <c r="F355" t="s">
        <v>2640</v>
      </c>
      <c r="G355" t="s">
        <v>17</v>
      </c>
      <c r="H355" t="s">
        <v>17</v>
      </c>
      <c r="I355" t="s">
        <v>2319</v>
      </c>
      <c r="J355" t="s">
        <v>17</v>
      </c>
      <c r="K355" t="s">
        <v>3207</v>
      </c>
      <c r="L355" t="s">
        <v>3208</v>
      </c>
      <c r="M355" t="s">
        <v>3209</v>
      </c>
      <c r="N355" t="s">
        <v>395</v>
      </c>
    </row>
    <row r="356" spans="1:14" ht="11.25" customHeight="1">
      <c r="A356" t="s">
        <v>2191</v>
      </c>
      <c r="B356" t="s">
        <v>14</v>
      </c>
      <c r="C356" t="s">
        <v>2641</v>
      </c>
      <c r="D356" t="s">
        <v>2642</v>
      </c>
      <c r="E356" t="s">
        <v>2643</v>
      </c>
      <c r="F356" t="s">
        <v>2244</v>
      </c>
      <c r="G356" t="s">
        <v>17</v>
      </c>
      <c r="H356" t="s">
        <v>17</v>
      </c>
      <c r="I356" t="s">
        <v>2509</v>
      </c>
      <c r="J356" t="s">
        <v>17</v>
      </c>
      <c r="K356" t="s">
        <v>3207</v>
      </c>
      <c r="L356" t="s">
        <v>3208</v>
      </c>
      <c r="M356" t="s">
        <v>3209</v>
      </c>
      <c r="N356" t="s">
        <v>395</v>
      </c>
    </row>
    <row r="357" spans="1:14" ht="11.25" customHeight="1">
      <c r="A357" t="s">
        <v>2191</v>
      </c>
      <c r="B357" t="s">
        <v>14</v>
      </c>
      <c r="C357" t="s">
        <v>2648</v>
      </c>
      <c r="D357" t="s">
        <v>2649</v>
      </c>
      <c r="E357" t="s">
        <v>2650</v>
      </c>
      <c r="F357" t="s">
        <v>2530</v>
      </c>
      <c r="G357" t="s">
        <v>17</v>
      </c>
      <c r="H357" t="s">
        <v>17</v>
      </c>
      <c r="I357" t="s">
        <v>2319</v>
      </c>
      <c r="J357" t="s">
        <v>17</v>
      </c>
      <c r="K357" t="s">
        <v>3207</v>
      </c>
      <c r="L357" t="s">
        <v>3208</v>
      </c>
      <c r="M357" t="s">
        <v>3209</v>
      </c>
      <c r="N357" t="s">
        <v>395</v>
      </c>
    </row>
    <row r="358" spans="1:14" ht="11.25" customHeight="1">
      <c r="A358" t="s">
        <v>2191</v>
      </c>
      <c r="B358" t="s">
        <v>14</v>
      </c>
      <c r="C358" t="s">
        <v>2651</v>
      </c>
      <c r="D358" t="s">
        <v>2652</v>
      </c>
      <c r="E358" t="s">
        <v>2653</v>
      </c>
      <c r="F358" t="s">
        <v>2546</v>
      </c>
      <c r="G358" t="s">
        <v>17</v>
      </c>
      <c r="H358" t="s">
        <v>17</v>
      </c>
      <c r="I358" t="s">
        <v>2319</v>
      </c>
      <c r="J358" t="s">
        <v>17</v>
      </c>
      <c r="K358" t="s">
        <v>3207</v>
      </c>
      <c r="L358" t="s">
        <v>3208</v>
      </c>
      <c r="M358" t="s">
        <v>3209</v>
      </c>
      <c r="N358" t="s">
        <v>395</v>
      </c>
    </row>
    <row r="359" spans="1:14" ht="11.25" customHeight="1">
      <c r="A359" t="s">
        <v>2191</v>
      </c>
      <c r="B359" t="s">
        <v>14</v>
      </c>
      <c r="C359" t="s">
        <v>2658</v>
      </c>
      <c r="D359" t="s">
        <v>2659</v>
      </c>
      <c r="E359" t="s">
        <v>2660</v>
      </c>
      <c r="F359" t="s">
        <v>2661</v>
      </c>
      <c r="G359" t="s">
        <v>17</v>
      </c>
      <c r="H359" t="s">
        <v>17</v>
      </c>
      <c r="I359" t="s">
        <v>2319</v>
      </c>
      <c r="J359" t="s">
        <v>17</v>
      </c>
      <c r="K359" t="s">
        <v>3207</v>
      </c>
      <c r="L359" t="s">
        <v>3208</v>
      </c>
      <c r="M359" t="s">
        <v>3209</v>
      </c>
      <c r="N359" t="s">
        <v>395</v>
      </c>
    </row>
    <row r="360" spans="1:14" ht="11.25" customHeight="1">
      <c r="A360" t="s">
        <v>2191</v>
      </c>
      <c r="B360" t="s">
        <v>14</v>
      </c>
      <c r="C360" t="s">
        <v>2662</v>
      </c>
      <c r="D360" t="s">
        <v>2663</v>
      </c>
      <c r="E360" t="s">
        <v>2664</v>
      </c>
      <c r="F360" t="s">
        <v>2253</v>
      </c>
      <c r="G360" t="s">
        <v>17</v>
      </c>
      <c r="H360" t="s">
        <v>17</v>
      </c>
      <c r="I360" t="s">
        <v>2665</v>
      </c>
      <c r="J360" t="s">
        <v>17</v>
      </c>
      <c r="K360" t="s">
        <v>3207</v>
      </c>
      <c r="L360" t="s">
        <v>3208</v>
      </c>
      <c r="M360" t="s">
        <v>3209</v>
      </c>
      <c r="N360" t="s">
        <v>395</v>
      </c>
    </row>
    <row r="361" spans="1:14" ht="11.25" customHeight="1">
      <c r="A361" t="s">
        <v>2191</v>
      </c>
      <c r="B361" t="s">
        <v>14</v>
      </c>
      <c r="C361" t="s">
        <v>2666</v>
      </c>
      <c r="D361" t="s">
        <v>2667</v>
      </c>
      <c r="E361" t="s">
        <v>2668</v>
      </c>
      <c r="F361" t="s">
        <v>2402</v>
      </c>
      <c r="G361" t="s">
        <v>17</v>
      </c>
      <c r="H361" t="s">
        <v>17</v>
      </c>
      <c r="I361" t="s">
        <v>2669</v>
      </c>
      <c r="J361" t="s">
        <v>17</v>
      </c>
      <c r="K361" t="s">
        <v>3212</v>
      </c>
      <c r="L361" t="s">
        <v>1069</v>
      </c>
      <c r="M361" t="s">
        <v>3213</v>
      </c>
      <c r="N361" t="s">
        <v>395</v>
      </c>
    </row>
    <row r="362" spans="1:14" ht="11.25" customHeight="1">
      <c r="A362" t="s">
        <v>2191</v>
      </c>
      <c r="B362" t="s">
        <v>14</v>
      </c>
      <c r="C362" t="s">
        <v>2670</v>
      </c>
      <c r="D362" t="s">
        <v>2671</v>
      </c>
      <c r="E362" t="s">
        <v>2672</v>
      </c>
      <c r="F362" t="s">
        <v>2451</v>
      </c>
      <c r="G362" t="s">
        <v>2673</v>
      </c>
      <c r="H362" t="s">
        <v>17</v>
      </c>
      <c r="I362" t="s">
        <v>2319</v>
      </c>
      <c r="J362" t="s">
        <v>17</v>
      </c>
      <c r="K362" t="s">
        <v>3207</v>
      </c>
      <c r="L362" t="s">
        <v>3208</v>
      </c>
      <c r="M362" t="s">
        <v>3209</v>
      </c>
      <c r="N362" t="s">
        <v>395</v>
      </c>
    </row>
    <row r="363" spans="1:14" ht="11.25" customHeight="1">
      <c r="A363" t="s">
        <v>2191</v>
      </c>
      <c r="B363" t="s">
        <v>14</v>
      </c>
      <c r="C363" t="s">
        <v>2674</v>
      </c>
      <c r="D363" t="s">
        <v>2675</v>
      </c>
      <c r="E363" t="s">
        <v>2676</v>
      </c>
      <c r="F363" t="s">
        <v>2677</v>
      </c>
      <c r="G363" t="s">
        <v>17</v>
      </c>
      <c r="H363" t="s">
        <v>17</v>
      </c>
      <c r="I363" t="s">
        <v>2442</v>
      </c>
      <c r="J363" t="s">
        <v>17</v>
      </c>
      <c r="K363" t="s">
        <v>3207</v>
      </c>
      <c r="L363" t="s">
        <v>3208</v>
      </c>
      <c r="M363" t="s">
        <v>3209</v>
      </c>
      <c r="N363" t="s">
        <v>395</v>
      </c>
    </row>
    <row r="364" spans="1:14" ht="11.25" customHeight="1">
      <c r="A364" t="s">
        <v>2191</v>
      </c>
      <c r="B364" t="s">
        <v>14</v>
      </c>
      <c r="C364" t="s">
        <v>2692</v>
      </c>
      <c r="D364" t="s">
        <v>2693</v>
      </c>
      <c r="E364" t="s">
        <v>2694</v>
      </c>
      <c r="F364" t="s">
        <v>2414</v>
      </c>
      <c r="G364" t="s">
        <v>2695</v>
      </c>
      <c r="H364" t="s">
        <v>17</v>
      </c>
      <c r="I364" t="s">
        <v>2319</v>
      </c>
      <c r="J364" t="s">
        <v>17</v>
      </c>
      <c r="K364" t="s">
        <v>3207</v>
      </c>
      <c r="L364" t="s">
        <v>3208</v>
      </c>
      <c r="M364" t="s">
        <v>3209</v>
      </c>
      <c r="N364" t="s">
        <v>395</v>
      </c>
    </row>
    <row r="365" spans="1:14" ht="11.25" customHeight="1">
      <c r="A365" t="s">
        <v>2191</v>
      </c>
      <c r="B365" t="s">
        <v>14</v>
      </c>
      <c r="C365" t="s">
        <v>2696</v>
      </c>
      <c r="D365" t="s">
        <v>2697</v>
      </c>
      <c r="E365" t="s">
        <v>2698</v>
      </c>
      <c r="F365" t="s">
        <v>2414</v>
      </c>
      <c r="G365" t="s">
        <v>17</v>
      </c>
      <c r="H365" t="s">
        <v>17</v>
      </c>
      <c r="I365" t="s">
        <v>2319</v>
      </c>
      <c r="J365" t="s">
        <v>17</v>
      </c>
      <c r="K365" t="s">
        <v>3207</v>
      </c>
      <c r="L365" t="s">
        <v>3208</v>
      </c>
      <c r="M365" t="s">
        <v>3209</v>
      </c>
      <c r="N365" t="s">
        <v>395</v>
      </c>
    </row>
    <row r="366" spans="1:14" ht="11.25" customHeight="1">
      <c r="A366" t="s">
        <v>2191</v>
      </c>
      <c r="B366" t="s">
        <v>14</v>
      </c>
      <c r="C366" t="s">
        <v>2746</v>
      </c>
      <c r="D366" t="s">
        <v>2747</v>
      </c>
      <c r="E366" t="s">
        <v>2748</v>
      </c>
      <c r="F366" t="s">
        <v>2244</v>
      </c>
      <c r="G366" t="s">
        <v>17</v>
      </c>
      <c r="H366" t="s">
        <v>17</v>
      </c>
      <c r="I366" t="s">
        <v>2235</v>
      </c>
      <c r="J366" t="s">
        <v>17</v>
      </c>
      <c r="K366" t="s">
        <v>3207</v>
      </c>
      <c r="L366" t="s">
        <v>3208</v>
      </c>
      <c r="M366" t="s">
        <v>3209</v>
      </c>
      <c r="N366" t="s">
        <v>395</v>
      </c>
    </row>
    <row r="367" spans="1:14" ht="11.25" customHeight="1">
      <c r="A367" t="s">
        <v>2191</v>
      </c>
      <c r="B367" t="s">
        <v>14</v>
      </c>
      <c r="C367" t="s">
        <v>2763</v>
      </c>
      <c r="D367" t="s">
        <v>2764</v>
      </c>
      <c r="E367" t="s">
        <v>2765</v>
      </c>
      <c r="F367" t="s">
        <v>2280</v>
      </c>
      <c r="G367" t="s">
        <v>17</v>
      </c>
      <c r="H367" t="s">
        <v>17</v>
      </c>
      <c r="I367" t="s">
        <v>2196</v>
      </c>
      <c r="J367" t="s">
        <v>17</v>
      </c>
      <c r="K367" t="s">
        <v>3207</v>
      </c>
      <c r="L367" t="s">
        <v>3208</v>
      </c>
      <c r="M367" t="s">
        <v>3209</v>
      </c>
      <c r="N367" t="s">
        <v>395</v>
      </c>
    </row>
    <row r="368" spans="1:14" ht="11.25" customHeight="1">
      <c r="A368" t="s">
        <v>2191</v>
      </c>
      <c r="B368" t="s">
        <v>14</v>
      </c>
      <c r="C368" t="s">
        <v>2770</v>
      </c>
      <c r="D368" t="s">
        <v>2771</v>
      </c>
      <c r="E368" t="s">
        <v>2772</v>
      </c>
      <c r="F368" t="s">
        <v>2291</v>
      </c>
      <c r="G368" t="s">
        <v>17</v>
      </c>
      <c r="H368" t="s">
        <v>17</v>
      </c>
      <c r="I368" t="s">
        <v>2722</v>
      </c>
      <c r="J368" t="s">
        <v>17</v>
      </c>
      <c r="K368" t="s">
        <v>3207</v>
      </c>
      <c r="L368" t="s">
        <v>3208</v>
      </c>
      <c r="M368" t="s">
        <v>3209</v>
      </c>
      <c r="N368" t="s">
        <v>395</v>
      </c>
    </row>
    <row r="369" spans="1:14" ht="11.25" customHeight="1">
      <c r="A369" t="s">
        <v>2191</v>
      </c>
      <c r="B369" t="s">
        <v>14</v>
      </c>
      <c r="C369" t="s">
        <v>2770</v>
      </c>
      <c r="D369" t="s">
        <v>2771</v>
      </c>
      <c r="E369" t="s">
        <v>2772</v>
      </c>
      <c r="F369" t="s">
        <v>2291</v>
      </c>
      <c r="G369" t="s">
        <v>17</v>
      </c>
      <c r="H369" t="s">
        <v>17</v>
      </c>
      <c r="I369" t="s">
        <v>3195</v>
      </c>
      <c r="J369" t="s">
        <v>17</v>
      </c>
      <c r="K369" t="s">
        <v>3207</v>
      </c>
      <c r="L369" t="s">
        <v>3208</v>
      </c>
      <c r="M369" t="s">
        <v>3209</v>
      </c>
      <c r="N369" t="s">
        <v>395</v>
      </c>
    </row>
    <row r="370" spans="1:14" ht="11.25" customHeight="1">
      <c r="A370" t="s">
        <v>2191</v>
      </c>
      <c r="B370" t="s">
        <v>14</v>
      </c>
      <c r="C370" t="s">
        <v>2770</v>
      </c>
      <c r="D370" t="s">
        <v>2771</v>
      </c>
      <c r="E370" t="s">
        <v>2772</v>
      </c>
      <c r="F370" t="s">
        <v>2291</v>
      </c>
      <c r="G370" t="s">
        <v>17</v>
      </c>
      <c r="H370" t="s">
        <v>17</v>
      </c>
      <c r="I370" t="s">
        <v>2319</v>
      </c>
      <c r="J370" t="s">
        <v>17</v>
      </c>
      <c r="K370" t="s">
        <v>3207</v>
      </c>
      <c r="L370" t="s">
        <v>3208</v>
      </c>
      <c r="M370" t="s">
        <v>3209</v>
      </c>
      <c r="N370" t="s">
        <v>395</v>
      </c>
    </row>
    <row r="371" spans="1:14" ht="11.25" customHeight="1">
      <c r="A371" t="s">
        <v>2191</v>
      </c>
      <c r="B371" t="s">
        <v>14</v>
      </c>
      <c r="C371" t="s">
        <v>2774</v>
      </c>
      <c r="D371" t="s">
        <v>2775</v>
      </c>
      <c r="E371" t="s">
        <v>2776</v>
      </c>
      <c r="F371" t="s">
        <v>2257</v>
      </c>
      <c r="G371" t="s">
        <v>17</v>
      </c>
      <c r="H371" t="s">
        <v>17</v>
      </c>
      <c r="I371" t="s">
        <v>2235</v>
      </c>
      <c r="J371" t="s">
        <v>17</v>
      </c>
      <c r="K371" t="s">
        <v>3207</v>
      </c>
      <c r="L371" t="s">
        <v>3208</v>
      </c>
      <c r="M371" t="s">
        <v>3209</v>
      </c>
      <c r="N371" t="s">
        <v>395</v>
      </c>
    </row>
    <row r="372" spans="1:14" ht="11.25" customHeight="1">
      <c r="A372" t="s">
        <v>2191</v>
      </c>
      <c r="B372" t="s">
        <v>14</v>
      </c>
      <c r="C372" t="s">
        <v>2780</v>
      </c>
      <c r="D372" t="s">
        <v>2781</v>
      </c>
      <c r="E372" t="s">
        <v>2782</v>
      </c>
      <c r="F372" t="s">
        <v>2257</v>
      </c>
      <c r="G372" t="s">
        <v>17</v>
      </c>
      <c r="H372" t="s">
        <v>17</v>
      </c>
      <c r="I372" t="s">
        <v>2783</v>
      </c>
      <c r="J372" t="s">
        <v>17</v>
      </c>
      <c r="K372" t="s">
        <v>3207</v>
      </c>
      <c r="L372" t="s">
        <v>3208</v>
      </c>
      <c r="M372" t="s">
        <v>3209</v>
      </c>
      <c r="N372" t="s">
        <v>395</v>
      </c>
    </row>
    <row r="373" spans="1:14" ht="11.25" customHeight="1">
      <c r="A373" t="s">
        <v>2191</v>
      </c>
      <c r="B373" t="s">
        <v>14</v>
      </c>
      <c r="C373" t="s">
        <v>2780</v>
      </c>
      <c r="D373" t="s">
        <v>2781</v>
      </c>
      <c r="E373" t="s">
        <v>2782</v>
      </c>
      <c r="F373" t="s">
        <v>2257</v>
      </c>
      <c r="G373" t="s">
        <v>17</v>
      </c>
      <c r="H373" t="s">
        <v>17</v>
      </c>
      <c r="I373" t="s">
        <v>2319</v>
      </c>
      <c r="J373" t="s">
        <v>17</v>
      </c>
      <c r="K373" t="s">
        <v>3207</v>
      </c>
      <c r="L373" t="s">
        <v>3208</v>
      </c>
      <c r="M373" t="s">
        <v>3209</v>
      </c>
      <c r="N373" t="s">
        <v>395</v>
      </c>
    </row>
    <row r="374" spans="1:14" ht="11.25" customHeight="1">
      <c r="A374" t="s">
        <v>2191</v>
      </c>
      <c r="B374" t="s">
        <v>14</v>
      </c>
      <c r="C374" t="s">
        <v>2784</v>
      </c>
      <c r="D374" t="s">
        <v>2785</v>
      </c>
      <c r="E374" t="s">
        <v>2786</v>
      </c>
      <c r="F374" t="s">
        <v>2257</v>
      </c>
      <c r="G374" t="s">
        <v>17</v>
      </c>
      <c r="H374" t="s">
        <v>17</v>
      </c>
      <c r="I374" t="s">
        <v>2787</v>
      </c>
      <c r="J374" t="s">
        <v>17</v>
      </c>
      <c r="K374" t="s">
        <v>3207</v>
      </c>
      <c r="L374" t="s">
        <v>3208</v>
      </c>
      <c r="M374" t="s">
        <v>3209</v>
      </c>
      <c r="N374" t="s">
        <v>395</v>
      </c>
    </row>
    <row r="375" spans="1:14" ht="11.25" customHeight="1">
      <c r="A375" t="s">
        <v>2191</v>
      </c>
      <c r="B375" t="s">
        <v>14</v>
      </c>
      <c r="C375" t="s">
        <v>2784</v>
      </c>
      <c r="D375" t="s">
        <v>2785</v>
      </c>
      <c r="E375" t="s">
        <v>2786</v>
      </c>
      <c r="F375" t="s">
        <v>2257</v>
      </c>
      <c r="G375" t="s">
        <v>17</v>
      </c>
      <c r="H375" t="s">
        <v>17</v>
      </c>
      <c r="I375" t="s">
        <v>2788</v>
      </c>
      <c r="J375" t="s">
        <v>17</v>
      </c>
      <c r="K375" t="s">
        <v>3207</v>
      </c>
      <c r="L375" t="s">
        <v>3208</v>
      </c>
      <c r="M375" t="s">
        <v>3209</v>
      </c>
      <c r="N375" t="s">
        <v>395</v>
      </c>
    </row>
    <row r="376" spans="1:14" ht="11.25" customHeight="1">
      <c r="A376" t="s">
        <v>2191</v>
      </c>
      <c r="B376" t="s">
        <v>14</v>
      </c>
      <c r="C376" t="s">
        <v>2784</v>
      </c>
      <c r="D376" t="s">
        <v>2785</v>
      </c>
      <c r="E376" t="s">
        <v>2786</v>
      </c>
      <c r="F376" t="s">
        <v>2257</v>
      </c>
      <c r="G376" t="s">
        <v>17</v>
      </c>
      <c r="H376" t="s">
        <v>17</v>
      </c>
      <c r="I376" t="s">
        <v>2789</v>
      </c>
      <c r="J376" t="s">
        <v>17</v>
      </c>
      <c r="K376" t="s">
        <v>3207</v>
      </c>
      <c r="L376" t="s">
        <v>3208</v>
      </c>
      <c r="M376" t="s">
        <v>3209</v>
      </c>
      <c r="N376" t="s">
        <v>395</v>
      </c>
    </row>
    <row r="377" spans="1:14" ht="11.25" customHeight="1">
      <c r="A377" t="s">
        <v>2191</v>
      </c>
      <c r="B377" t="s">
        <v>14</v>
      </c>
      <c r="C377" t="s">
        <v>2790</v>
      </c>
      <c r="D377" t="s">
        <v>2791</v>
      </c>
      <c r="E377" t="s">
        <v>2792</v>
      </c>
      <c r="F377" t="s">
        <v>2793</v>
      </c>
      <c r="G377" t="s">
        <v>17</v>
      </c>
      <c r="H377" t="s">
        <v>17</v>
      </c>
      <c r="I377" t="s">
        <v>2235</v>
      </c>
      <c r="J377" t="s">
        <v>17</v>
      </c>
      <c r="K377" t="s">
        <v>3207</v>
      </c>
      <c r="L377" t="s">
        <v>3208</v>
      </c>
      <c r="M377" t="s">
        <v>3209</v>
      </c>
      <c r="N377" t="s">
        <v>395</v>
      </c>
    </row>
    <row r="378" spans="1:14" ht="11.25" customHeight="1">
      <c r="A378" t="s">
        <v>2191</v>
      </c>
      <c r="B378" t="s">
        <v>14</v>
      </c>
      <c r="C378" t="s">
        <v>2799</v>
      </c>
      <c r="D378" t="s">
        <v>2800</v>
      </c>
      <c r="E378" t="s">
        <v>2801</v>
      </c>
      <c r="F378" t="s">
        <v>2234</v>
      </c>
      <c r="G378" t="s">
        <v>17</v>
      </c>
      <c r="H378" t="s">
        <v>17</v>
      </c>
      <c r="I378" t="s">
        <v>2235</v>
      </c>
      <c r="J378" t="s">
        <v>17</v>
      </c>
      <c r="K378" t="s">
        <v>3207</v>
      </c>
      <c r="L378" t="s">
        <v>3214</v>
      </c>
      <c r="M378" t="s">
        <v>3215</v>
      </c>
      <c r="N378" t="s">
        <v>395</v>
      </c>
    </row>
    <row r="379" spans="1:14" ht="11.25" customHeight="1">
      <c r="A379" t="s">
        <v>2191</v>
      </c>
      <c r="B379" t="s">
        <v>14</v>
      </c>
      <c r="C379" t="s">
        <v>2813</v>
      </c>
      <c r="D379" t="s">
        <v>2814</v>
      </c>
      <c r="E379" t="s">
        <v>2815</v>
      </c>
      <c r="F379" t="s">
        <v>2382</v>
      </c>
      <c r="G379" t="s">
        <v>17</v>
      </c>
      <c r="H379" t="s">
        <v>17</v>
      </c>
      <c r="I379" t="s">
        <v>3211</v>
      </c>
      <c r="J379" t="s">
        <v>17</v>
      </c>
      <c r="K379" t="s">
        <v>3207</v>
      </c>
      <c r="L379" t="s">
        <v>3214</v>
      </c>
      <c r="M379" t="s">
        <v>3215</v>
      </c>
      <c r="N379" t="s">
        <v>395</v>
      </c>
    </row>
    <row r="380" spans="1:14" ht="11.25" customHeight="1">
      <c r="A380" t="s">
        <v>2191</v>
      </c>
      <c r="B380" t="s">
        <v>14</v>
      </c>
      <c r="C380" t="s">
        <v>2817</v>
      </c>
      <c r="D380" t="s">
        <v>2818</v>
      </c>
      <c r="E380" t="s">
        <v>2819</v>
      </c>
      <c r="F380" t="s">
        <v>2253</v>
      </c>
      <c r="G380" t="s">
        <v>17</v>
      </c>
      <c r="H380" t="s">
        <v>17</v>
      </c>
      <c r="I380" t="s">
        <v>2820</v>
      </c>
      <c r="J380" t="s">
        <v>17</v>
      </c>
      <c r="K380" t="s">
        <v>3207</v>
      </c>
      <c r="L380" t="s">
        <v>3208</v>
      </c>
      <c r="M380" t="s">
        <v>3209</v>
      </c>
      <c r="N380" t="s">
        <v>395</v>
      </c>
    </row>
    <row r="381" spans="1:14" ht="11.25" customHeight="1">
      <c r="A381" t="s">
        <v>2191</v>
      </c>
      <c r="B381" t="s">
        <v>14</v>
      </c>
      <c r="C381" t="s">
        <v>2821</v>
      </c>
      <c r="D381" t="s">
        <v>2822</v>
      </c>
      <c r="E381" t="s">
        <v>2823</v>
      </c>
      <c r="F381" t="s">
        <v>2211</v>
      </c>
      <c r="G381" t="s">
        <v>17</v>
      </c>
      <c r="H381" t="s">
        <v>17</v>
      </c>
      <c r="I381" t="s">
        <v>2360</v>
      </c>
      <c r="J381" t="s">
        <v>17</v>
      </c>
      <c r="K381" t="s">
        <v>3207</v>
      </c>
      <c r="L381" t="s">
        <v>3208</v>
      </c>
      <c r="M381" t="s">
        <v>3209</v>
      </c>
      <c r="N381" t="s">
        <v>395</v>
      </c>
    </row>
    <row r="382" spans="1:14" ht="11.25" customHeight="1">
      <c r="A382" t="s">
        <v>2191</v>
      </c>
      <c r="B382" t="s">
        <v>14</v>
      </c>
      <c r="C382" t="s">
        <v>2825</v>
      </c>
      <c r="D382" t="s">
        <v>2826</v>
      </c>
      <c r="E382" t="s">
        <v>2827</v>
      </c>
      <c r="F382" t="s">
        <v>2248</v>
      </c>
      <c r="G382" t="s">
        <v>17</v>
      </c>
      <c r="H382" t="s">
        <v>17</v>
      </c>
      <c r="I382" t="s">
        <v>2828</v>
      </c>
      <c r="J382" t="s">
        <v>17</v>
      </c>
      <c r="K382" t="s">
        <v>3207</v>
      </c>
      <c r="L382" t="s">
        <v>3208</v>
      </c>
      <c r="M382" t="s">
        <v>3209</v>
      </c>
      <c r="N382" t="s">
        <v>395</v>
      </c>
    </row>
    <row r="383" spans="1:14" ht="11.25" customHeight="1">
      <c r="A383" t="s">
        <v>2191</v>
      </c>
      <c r="B383" t="s">
        <v>14</v>
      </c>
      <c r="C383" t="s">
        <v>2842</v>
      </c>
      <c r="D383" t="s">
        <v>2843</v>
      </c>
      <c r="E383" t="s">
        <v>2844</v>
      </c>
      <c r="F383" t="s">
        <v>2257</v>
      </c>
      <c r="G383" t="s">
        <v>2845</v>
      </c>
      <c r="H383" t="s">
        <v>17</v>
      </c>
      <c r="I383" t="s">
        <v>2315</v>
      </c>
      <c r="J383" t="s">
        <v>17</v>
      </c>
      <c r="K383" t="s">
        <v>3207</v>
      </c>
      <c r="L383" t="s">
        <v>3208</v>
      </c>
      <c r="M383" t="s">
        <v>3209</v>
      </c>
      <c r="N383" t="s">
        <v>395</v>
      </c>
    </row>
    <row r="384" spans="1:14" ht="11.25" customHeight="1">
      <c r="A384" t="s">
        <v>2191</v>
      </c>
      <c r="B384" t="s">
        <v>14</v>
      </c>
      <c r="C384" t="s">
        <v>2846</v>
      </c>
      <c r="D384" t="s">
        <v>2847</v>
      </c>
      <c r="E384" t="s">
        <v>2848</v>
      </c>
      <c r="F384" t="s">
        <v>2739</v>
      </c>
      <c r="G384" t="s">
        <v>17</v>
      </c>
      <c r="H384" t="s">
        <v>17</v>
      </c>
      <c r="I384" t="s">
        <v>2319</v>
      </c>
      <c r="J384" t="s">
        <v>17</v>
      </c>
      <c r="K384" t="s">
        <v>3207</v>
      </c>
      <c r="L384" t="s">
        <v>3208</v>
      </c>
      <c r="M384" t="s">
        <v>3209</v>
      </c>
      <c r="N384" t="s">
        <v>395</v>
      </c>
    </row>
    <row r="385" spans="1:14" ht="11.25" customHeight="1">
      <c r="A385" t="s">
        <v>2191</v>
      </c>
      <c r="B385" t="s">
        <v>14</v>
      </c>
      <c r="C385" t="s">
        <v>2849</v>
      </c>
      <c r="D385" t="s">
        <v>2850</v>
      </c>
      <c r="E385" t="s">
        <v>2851</v>
      </c>
      <c r="F385" t="s">
        <v>51</v>
      </c>
      <c r="G385" t="s">
        <v>17</v>
      </c>
      <c r="H385" t="s">
        <v>17</v>
      </c>
      <c r="I385" t="s">
        <v>2852</v>
      </c>
      <c r="J385" t="s">
        <v>17</v>
      </c>
      <c r="K385" t="s">
        <v>3207</v>
      </c>
      <c r="L385" t="s">
        <v>3208</v>
      </c>
      <c r="M385" t="s">
        <v>3209</v>
      </c>
      <c r="N385" t="s">
        <v>395</v>
      </c>
    </row>
    <row r="386" spans="1:14" ht="11.25" customHeight="1">
      <c r="A386" t="s">
        <v>2191</v>
      </c>
      <c r="B386" t="s">
        <v>14</v>
      </c>
      <c r="C386" t="s">
        <v>2856</v>
      </c>
      <c r="D386" t="s">
        <v>2857</v>
      </c>
      <c r="E386" t="s">
        <v>2858</v>
      </c>
      <c r="F386" t="s">
        <v>51</v>
      </c>
      <c r="G386" t="s">
        <v>2859</v>
      </c>
      <c r="H386" t="s">
        <v>17</v>
      </c>
      <c r="I386" t="s">
        <v>2314</v>
      </c>
      <c r="J386" t="s">
        <v>17</v>
      </c>
      <c r="K386" t="s">
        <v>3207</v>
      </c>
      <c r="L386" t="s">
        <v>3208</v>
      </c>
      <c r="M386" t="s">
        <v>3209</v>
      </c>
      <c r="N386" t="s">
        <v>395</v>
      </c>
    </row>
    <row r="387" spans="1:14" ht="11.25" customHeight="1">
      <c r="A387" t="s">
        <v>2191</v>
      </c>
      <c r="B387" t="s">
        <v>14</v>
      </c>
      <c r="C387" t="s">
        <v>3225</v>
      </c>
      <c r="D387" t="s">
        <v>3226</v>
      </c>
      <c r="E387" t="s">
        <v>3227</v>
      </c>
      <c r="F387" t="s">
        <v>2600</v>
      </c>
      <c r="G387" t="s">
        <v>17</v>
      </c>
      <c r="H387" t="s">
        <v>17</v>
      </c>
      <c r="I387" t="s">
        <v>2319</v>
      </c>
      <c r="J387" t="s">
        <v>2319</v>
      </c>
      <c r="K387" t="s">
        <v>3207</v>
      </c>
      <c r="L387" t="s">
        <v>3208</v>
      </c>
      <c r="M387" t="s">
        <v>3209</v>
      </c>
      <c r="N387" t="s">
        <v>395</v>
      </c>
    </row>
    <row r="388" spans="1:14" ht="11.25" customHeight="1">
      <c r="A388" t="s">
        <v>2191</v>
      </c>
      <c r="B388" t="s">
        <v>14</v>
      </c>
      <c r="C388" t="s">
        <v>3228</v>
      </c>
      <c r="D388" t="s">
        <v>3229</v>
      </c>
      <c r="E388" t="s">
        <v>3230</v>
      </c>
      <c r="F388" t="s">
        <v>2640</v>
      </c>
      <c r="G388" t="s">
        <v>3231</v>
      </c>
      <c r="H388" t="s">
        <v>17</v>
      </c>
      <c r="I388" t="s">
        <v>2319</v>
      </c>
      <c r="J388" t="s">
        <v>2319</v>
      </c>
      <c r="K388" t="s">
        <v>3207</v>
      </c>
      <c r="L388" t="s">
        <v>3208</v>
      </c>
      <c r="M388" t="s">
        <v>3209</v>
      </c>
      <c r="N388" t="s">
        <v>395</v>
      </c>
    </row>
    <row r="389" spans="1:14" ht="11.25" customHeight="1">
      <c r="A389" t="s">
        <v>2191</v>
      </c>
      <c r="B389" t="s">
        <v>14</v>
      </c>
      <c r="C389" t="s">
        <v>2878</v>
      </c>
      <c r="D389" t="s">
        <v>2879</v>
      </c>
      <c r="E389" t="s">
        <v>2880</v>
      </c>
      <c r="F389" t="s">
        <v>2467</v>
      </c>
      <c r="G389" t="s">
        <v>2881</v>
      </c>
      <c r="H389" t="s">
        <v>17</v>
      </c>
      <c r="I389" t="s">
        <v>3073</v>
      </c>
      <c r="J389" t="s">
        <v>17</v>
      </c>
      <c r="K389" t="s">
        <v>3207</v>
      </c>
      <c r="L389" t="s">
        <v>3208</v>
      </c>
      <c r="M389" t="s">
        <v>3209</v>
      </c>
      <c r="N389" t="s">
        <v>395</v>
      </c>
    </row>
    <row r="390" spans="1:14" ht="11.25" customHeight="1">
      <c r="A390" t="s">
        <v>2191</v>
      </c>
      <c r="B390" t="s">
        <v>14</v>
      </c>
      <c r="C390" t="s">
        <v>2890</v>
      </c>
      <c r="D390" t="s">
        <v>2891</v>
      </c>
      <c r="E390" t="s">
        <v>2892</v>
      </c>
      <c r="F390" t="s">
        <v>2296</v>
      </c>
      <c r="G390" t="s">
        <v>2893</v>
      </c>
      <c r="H390" t="s">
        <v>17</v>
      </c>
      <c r="I390" t="s">
        <v>2894</v>
      </c>
      <c r="J390" t="s">
        <v>17</v>
      </c>
      <c r="K390" t="s">
        <v>3207</v>
      </c>
      <c r="L390" t="s">
        <v>3208</v>
      </c>
      <c r="M390" t="s">
        <v>3209</v>
      </c>
      <c r="N390" t="s">
        <v>395</v>
      </c>
    </row>
    <row r="391" spans="1:14" ht="11.25" customHeight="1">
      <c r="A391" t="s">
        <v>2191</v>
      </c>
      <c r="B391" t="s">
        <v>14</v>
      </c>
      <c r="C391" t="s">
        <v>2895</v>
      </c>
      <c r="D391" t="s">
        <v>2896</v>
      </c>
      <c r="E391" t="s">
        <v>2897</v>
      </c>
      <c r="F391" t="s">
        <v>2211</v>
      </c>
      <c r="G391" t="s">
        <v>17</v>
      </c>
      <c r="H391" t="s">
        <v>17</v>
      </c>
      <c r="I391" t="s">
        <v>2434</v>
      </c>
      <c r="J391" t="s">
        <v>17</v>
      </c>
      <c r="K391" t="s">
        <v>3207</v>
      </c>
      <c r="L391" t="s">
        <v>3208</v>
      </c>
      <c r="M391" t="s">
        <v>3209</v>
      </c>
      <c r="N391" t="s">
        <v>395</v>
      </c>
    </row>
    <row r="392" spans="1:14" ht="11.25" customHeight="1">
      <c r="A392" t="s">
        <v>2191</v>
      </c>
      <c r="B392" t="s">
        <v>14</v>
      </c>
      <c r="C392" t="s">
        <v>2895</v>
      </c>
      <c r="D392" t="s">
        <v>2896</v>
      </c>
      <c r="E392" t="s">
        <v>2897</v>
      </c>
      <c r="F392" t="s">
        <v>2211</v>
      </c>
      <c r="G392" t="s">
        <v>17</v>
      </c>
      <c r="H392" t="s">
        <v>17</v>
      </c>
      <c r="I392" t="s">
        <v>2319</v>
      </c>
      <c r="J392" t="s">
        <v>17</v>
      </c>
      <c r="K392" t="s">
        <v>3207</v>
      </c>
      <c r="L392" t="s">
        <v>3208</v>
      </c>
      <c r="M392" t="s">
        <v>3209</v>
      </c>
      <c r="N392" t="s">
        <v>395</v>
      </c>
    </row>
    <row r="393" spans="1:14" ht="11.25" customHeight="1">
      <c r="A393" t="s">
        <v>2191</v>
      </c>
      <c r="B393" t="s">
        <v>14</v>
      </c>
      <c r="C393" t="s">
        <v>2898</v>
      </c>
      <c r="D393" t="s">
        <v>2899</v>
      </c>
      <c r="E393" t="s">
        <v>2900</v>
      </c>
      <c r="F393" t="s">
        <v>2211</v>
      </c>
      <c r="G393" t="s">
        <v>17</v>
      </c>
      <c r="H393" t="s">
        <v>17</v>
      </c>
      <c r="I393" t="s">
        <v>2901</v>
      </c>
      <c r="J393" t="s">
        <v>17</v>
      </c>
      <c r="K393" t="s">
        <v>3207</v>
      </c>
      <c r="L393" t="s">
        <v>3208</v>
      </c>
      <c r="M393" t="s">
        <v>3209</v>
      </c>
      <c r="N393" t="s">
        <v>395</v>
      </c>
    </row>
    <row r="394" spans="1:14" ht="11.25" customHeight="1">
      <c r="A394" t="s">
        <v>2191</v>
      </c>
      <c r="B394" t="s">
        <v>14</v>
      </c>
      <c r="C394" t="s">
        <v>2907</v>
      </c>
      <c r="D394" t="s">
        <v>2908</v>
      </c>
      <c r="E394" t="s">
        <v>2909</v>
      </c>
      <c r="F394" t="s">
        <v>2414</v>
      </c>
      <c r="G394" t="s">
        <v>17</v>
      </c>
      <c r="H394" t="s">
        <v>17</v>
      </c>
      <c r="I394" t="s">
        <v>2319</v>
      </c>
      <c r="J394" t="s">
        <v>17</v>
      </c>
      <c r="K394" t="s">
        <v>3207</v>
      </c>
      <c r="L394" t="s">
        <v>3208</v>
      </c>
      <c r="M394" t="s">
        <v>3209</v>
      </c>
      <c r="N394" t="s">
        <v>395</v>
      </c>
    </row>
    <row r="395" spans="1:14" ht="11.25" customHeight="1">
      <c r="A395" t="s">
        <v>2191</v>
      </c>
      <c r="B395" t="s">
        <v>14</v>
      </c>
      <c r="C395" t="s">
        <v>2910</v>
      </c>
      <c r="D395" t="s">
        <v>2911</v>
      </c>
      <c r="E395" t="s">
        <v>2912</v>
      </c>
      <c r="F395" t="s">
        <v>2291</v>
      </c>
      <c r="G395" t="s">
        <v>17</v>
      </c>
      <c r="H395" t="s">
        <v>17</v>
      </c>
      <c r="I395" t="s">
        <v>2486</v>
      </c>
      <c r="J395" t="s">
        <v>17</v>
      </c>
      <c r="K395" t="s">
        <v>3207</v>
      </c>
      <c r="L395" t="s">
        <v>3208</v>
      </c>
      <c r="M395" t="s">
        <v>3209</v>
      </c>
      <c r="N395" t="s">
        <v>395</v>
      </c>
    </row>
    <row r="396" spans="1:14" ht="11.25" customHeight="1">
      <c r="A396" t="s">
        <v>2191</v>
      </c>
      <c r="B396" t="s">
        <v>14</v>
      </c>
      <c r="C396" t="s">
        <v>2916</v>
      </c>
      <c r="D396" t="s">
        <v>2917</v>
      </c>
      <c r="E396" t="s">
        <v>2918</v>
      </c>
      <c r="F396" t="s">
        <v>2207</v>
      </c>
      <c r="G396" t="s">
        <v>17</v>
      </c>
      <c r="H396" t="s">
        <v>17</v>
      </c>
      <c r="I396" t="s">
        <v>2919</v>
      </c>
      <c r="J396" t="s">
        <v>17</v>
      </c>
      <c r="K396" t="s">
        <v>3207</v>
      </c>
      <c r="L396" t="s">
        <v>3214</v>
      </c>
      <c r="M396" t="s">
        <v>3215</v>
      </c>
      <c r="N396" t="s">
        <v>395</v>
      </c>
    </row>
    <row r="397" spans="1:14" ht="11.25" customHeight="1">
      <c r="A397" t="s">
        <v>2191</v>
      </c>
      <c r="B397" t="s">
        <v>14</v>
      </c>
      <c r="C397" t="s">
        <v>2920</v>
      </c>
      <c r="D397" t="s">
        <v>2921</v>
      </c>
      <c r="E397" t="s">
        <v>2922</v>
      </c>
      <c r="F397" t="s">
        <v>2234</v>
      </c>
      <c r="G397" t="s">
        <v>17</v>
      </c>
      <c r="H397" t="s">
        <v>17</v>
      </c>
      <c r="I397" t="s">
        <v>2235</v>
      </c>
      <c r="J397" t="s">
        <v>17</v>
      </c>
      <c r="K397" t="s">
        <v>3207</v>
      </c>
      <c r="L397" t="s">
        <v>3208</v>
      </c>
      <c r="M397" t="s">
        <v>3209</v>
      </c>
      <c r="N397" t="s">
        <v>395</v>
      </c>
    </row>
    <row r="398" spans="1:14" ht="11.25" customHeight="1">
      <c r="A398" t="s">
        <v>2191</v>
      </c>
      <c r="B398" t="s">
        <v>14</v>
      </c>
      <c r="C398" t="s">
        <v>2923</v>
      </c>
      <c r="D398" t="s">
        <v>2924</v>
      </c>
      <c r="E398" t="s">
        <v>2925</v>
      </c>
      <c r="F398" t="s">
        <v>51</v>
      </c>
      <c r="G398" t="s">
        <v>17</v>
      </c>
      <c r="H398" t="s">
        <v>17</v>
      </c>
      <c r="I398" t="s">
        <v>2315</v>
      </c>
      <c r="J398" t="s">
        <v>17</v>
      </c>
      <c r="K398" t="s">
        <v>3207</v>
      </c>
      <c r="L398" t="s">
        <v>3208</v>
      </c>
      <c r="M398" t="s">
        <v>3209</v>
      </c>
      <c r="N398" t="s">
        <v>395</v>
      </c>
    </row>
    <row r="399" spans="1:14" ht="11.25" customHeight="1">
      <c r="A399" t="s">
        <v>2191</v>
      </c>
      <c r="B399" t="s">
        <v>14</v>
      </c>
      <c r="C399" t="s">
        <v>2923</v>
      </c>
      <c r="D399" t="s">
        <v>2924</v>
      </c>
      <c r="E399" t="s">
        <v>2925</v>
      </c>
      <c r="F399" t="s">
        <v>51</v>
      </c>
      <c r="G399" t="s">
        <v>17</v>
      </c>
      <c r="H399" t="s">
        <v>17</v>
      </c>
      <c r="I399" t="s">
        <v>2235</v>
      </c>
      <c r="J399" t="s">
        <v>17</v>
      </c>
      <c r="K399" t="s">
        <v>3207</v>
      </c>
      <c r="L399" t="s">
        <v>3208</v>
      </c>
      <c r="M399" t="s">
        <v>3209</v>
      </c>
      <c r="N399" t="s">
        <v>395</v>
      </c>
    </row>
    <row r="400" spans="1:14" ht="11.25" customHeight="1">
      <c r="A400" t="s">
        <v>2191</v>
      </c>
      <c r="B400" t="s">
        <v>14</v>
      </c>
      <c r="C400" t="s">
        <v>2933</v>
      </c>
      <c r="D400" t="s">
        <v>2934</v>
      </c>
      <c r="E400" t="s">
        <v>2935</v>
      </c>
      <c r="F400" t="s">
        <v>2936</v>
      </c>
      <c r="G400" t="s">
        <v>17</v>
      </c>
      <c r="H400" t="s">
        <v>17</v>
      </c>
      <c r="I400" t="s">
        <v>2787</v>
      </c>
      <c r="J400" t="s">
        <v>17</v>
      </c>
      <c r="K400" t="s">
        <v>3207</v>
      </c>
      <c r="L400" t="s">
        <v>3208</v>
      </c>
      <c r="M400" t="s">
        <v>3209</v>
      </c>
      <c r="N400" t="s">
        <v>395</v>
      </c>
    </row>
    <row r="401" spans="1:14" ht="11.25" customHeight="1">
      <c r="A401" t="s">
        <v>2191</v>
      </c>
      <c r="B401" t="s">
        <v>14</v>
      </c>
      <c r="C401" t="s">
        <v>2941</v>
      </c>
      <c r="D401" t="s">
        <v>2942</v>
      </c>
      <c r="E401" t="s">
        <v>2943</v>
      </c>
      <c r="F401" t="s">
        <v>2944</v>
      </c>
      <c r="G401" t="s">
        <v>17</v>
      </c>
      <c r="H401" t="s">
        <v>17</v>
      </c>
      <c r="I401" t="s">
        <v>2945</v>
      </c>
      <c r="J401" t="s">
        <v>17</v>
      </c>
      <c r="K401" t="s">
        <v>3207</v>
      </c>
      <c r="L401" t="s">
        <v>3208</v>
      </c>
      <c r="M401" t="s">
        <v>3209</v>
      </c>
      <c r="N401" t="s">
        <v>395</v>
      </c>
    </row>
    <row r="402" spans="1:14" ht="11.25" customHeight="1">
      <c r="A402" t="s">
        <v>2191</v>
      </c>
      <c r="B402" t="s">
        <v>14</v>
      </c>
      <c r="C402" t="s">
        <v>2953</v>
      </c>
      <c r="D402" t="s">
        <v>2954</v>
      </c>
      <c r="E402" t="s">
        <v>2955</v>
      </c>
      <c r="F402" t="s">
        <v>2956</v>
      </c>
      <c r="G402" t="s">
        <v>17</v>
      </c>
      <c r="H402" t="s">
        <v>17</v>
      </c>
      <c r="I402" t="s">
        <v>2957</v>
      </c>
      <c r="J402" t="s">
        <v>17</v>
      </c>
      <c r="K402" t="s">
        <v>3207</v>
      </c>
      <c r="L402" t="s">
        <v>3208</v>
      </c>
      <c r="M402" t="s">
        <v>3209</v>
      </c>
      <c r="N402" t="s">
        <v>395</v>
      </c>
    </row>
    <row r="403" spans="1:14" ht="11.25" customHeight="1">
      <c r="A403" t="s">
        <v>2191</v>
      </c>
      <c r="B403" t="s">
        <v>14</v>
      </c>
      <c r="C403" t="s">
        <v>2969</v>
      </c>
      <c r="D403" t="s">
        <v>2970</v>
      </c>
      <c r="E403" t="s">
        <v>2971</v>
      </c>
      <c r="F403" t="s">
        <v>2513</v>
      </c>
      <c r="G403" t="s">
        <v>17</v>
      </c>
      <c r="H403" t="s">
        <v>17</v>
      </c>
      <c r="I403" t="s">
        <v>2235</v>
      </c>
      <c r="J403" t="s">
        <v>17</v>
      </c>
      <c r="K403" t="s">
        <v>3207</v>
      </c>
      <c r="L403" t="s">
        <v>3208</v>
      </c>
      <c r="M403" t="s">
        <v>3209</v>
      </c>
      <c r="N403" t="s">
        <v>395</v>
      </c>
    </row>
    <row r="404" spans="1:14" ht="11.25" customHeight="1">
      <c r="A404" t="s">
        <v>2191</v>
      </c>
      <c r="B404" t="s">
        <v>14</v>
      </c>
      <c r="C404" t="s">
        <v>2980</v>
      </c>
      <c r="D404" t="s">
        <v>2981</v>
      </c>
      <c r="E404" t="s">
        <v>2982</v>
      </c>
      <c r="F404" t="s">
        <v>2983</v>
      </c>
      <c r="G404" t="s">
        <v>2984</v>
      </c>
      <c r="H404" t="s">
        <v>17</v>
      </c>
      <c r="I404" t="s">
        <v>2501</v>
      </c>
      <c r="J404" t="s">
        <v>17</v>
      </c>
      <c r="K404" t="s">
        <v>3207</v>
      </c>
      <c r="L404" t="s">
        <v>3214</v>
      </c>
      <c r="M404" t="s">
        <v>3215</v>
      </c>
      <c r="N404" t="s">
        <v>395</v>
      </c>
    </row>
    <row r="405" spans="1:14" ht="11.25" customHeight="1">
      <c r="A405" t="s">
        <v>2191</v>
      </c>
      <c r="B405" t="s">
        <v>14</v>
      </c>
      <c r="C405" t="s">
        <v>2985</v>
      </c>
      <c r="D405" t="s">
        <v>2986</v>
      </c>
      <c r="E405" t="s">
        <v>2987</v>
      </c>
      <c r="F405" t="s">
        <v>2530</v>
      </c>
      <c r="G405" t="s">
        <v>2988</v>
      </c>
      <c r="H405" t="s">
        <v>17</v>
      </c>
      <c r="I405" t="s">
        <v>2319</v>
      </c>
      <c r="J405" t="s">
        <v>17</v>
      </c>
      <c r="K405" t="s">
        <v>3207</v>
      </c>
      <c r="L405" t="s">
        <v>3208</v>
      </c>
      <c r="M405" t="s">
        <v>3209</v>
      </c>
      <c r="N405" t="s">
        <v>395</v>
      </c>
    </row>
    <row r="406" spans="1:14" ht="11.25" customHeight="1">
      <c r="A406" t="s">
        <v>2191</v>
      </c>
      <c r="B406" t="s">
        <v>14</v>
      </c>
      <c r="C406" t="s">
        <v>3007</v>
      </c>
      <c r="D406" t="s">
        <v>3008</v>
      </c>
      <c r="E406" t="s">
        <v>3009</v>
      </c>
      <c r="F406" t="s">
        <v>2211</v>
      </c>
      <c r="G406" t="s">
        <v>17</v>
      </c>
      <c r="H406" t="s">
        <v>17</v>
      </c>
      <c r="I406" t="s">
        <v>3010</v>
      </c>
      <c r="J406" t="s">
        <v>17</v>
      </c>
      <c r="K406" t="s">
        <v>3207</v>
      </c>
      <c r="L406" t="s">
        <v>3208</v>
      </c>
      <c r="M406" t="s">
        <v>3209</v>
      </c>
      <c r="N406" t="s">
        <v>395</v>
      </c>
    </row>
    <row r="407" spans="1:14" ht="11.25" customHeight="1">
      <c r="A407" t="s">
        <v>2191</v>
      </c>
      <c r="B407" t="s">
        <v>14</v>
      </c>
      <c r="C407" t="s">
        <v>3011</v>
      </c>
      <c r="D407" t="s">
        <v>3012</v>
      </c>
      <c r="E407" t="s">
        <v>3013</v>
      </c>
      <c r="F407" t="s">
        <v>2248</v>
      </c>
      <c r="G407" t="s">
        <v>17</v>
      </c>
      <c r="H407" t="s">
        <v>17</v>
      </c>
      <c r="I407" t="s">
        <v>2532</v>
      </c>
      <c r="J407" t="s">
        <v>17</v>
      </c>
      <c r="K407" t="s">
        <v>3207</v>
      </c>
      <c r="L407" t="s">
        <v>3208</v>
      </c>
      <c r="M407" t="s">
        <v>3209</v>
      </c>
      <c r="N407" t="s">
        <v>395</v>
      </c>
    </row>
    <row r="408" spans="1:14" ht="11.25" customHeight="1">
      <c r="A408" t="s">
        <v>2191</v>
      </c>
      <c r="B408" t="s">
        <v>14</v>
      </c>
      <c r="C408" t="s">
        <v>3020</v>
      </c>
      <c r="D408" t="s">
        <v>3021</v>
      </c>
      <c r="E408" t="s">
        <v>3022</v>
      </c>
      <c r="F408" t="s">
        <v>2467</v>
      </c>
      <c r="G408" t="s">
        <v>17</v>
      </c>
      <c r="H408" t="s">
        <v>17</v>
      </c>
      <c r="I408" t="s">
        <v>2509</v>
      </c>
      <c r="J408" t="s">
        <v>17</v>
      </c>
      <c r="K408" t="s">
        <v>3207</v>
      </c>
      <c r="L408" t="s">
        <v>3208</v>
      </c>
      <c r="M408" t="s">
        <v>3209</v>
      </c>
      <c r="N408" t="s">
        <v>395</v>
      </c>
    </row>
    <row r="409" spans="1:14" ht="11.25" customHeight="1">
      <c r="A409" t="s">
        <v>2191</v>
      </c>
      <c r="B409" t="s">
        <v>14</v>
      </c>
      <c r="C409" t="s">
        <v>3023</v>
      </c>
      <c r="D409" t="s">
        <v>3024</v>
      </c>
      <c r="E409" t="s">
        <v>3025</v>
      </c>
      <c r="F409" t="s">
        <v>2257</v>
      </c>
      <c r="G409" t="s">
        <v>17</v>
      </c>
      <c r="H409" t="s">
        <v>17</v>
      </c>
      <c r="I409" t="s">
        <v>3026</v>
      </c>
      <c r="J409" t="s">
        <v>17</v>
      </c>
      <c r="K409" t="s">
        <v>3207</v>
      </c>
      <c r="L409" t="s">
        <v>3208</v>
      </c>
      <c r="M409" t="s">
        <v>3209</v>
      </c>
      <c r="N409" t="s">
        <v>395</v>
      </c>
    </row>
    <row r="410" spans="1:14" ht="11.25" customHeight="1">
      <c r="A410" t="s">
        <v>2191</v>
      </c>
      <c r="B410" t="s">
        <v>14</v>
      </c>
      <c r="C410" t="s">
        <v>3027</v>
      </c>
      <c r="D410" t="s">
        <v>3028</v>
      </c>
      <c r="E410" t="s">
        <v>3029</v>
      </c>
      <c r="F410" t="s">
        <v>2940</v>
      </c>
      <c r="G410" t="s">
        <v>17</v>
      </c>
      <c r="H410" t="s">
        <v>17</v>
      </c>
      <c r="I410" t="s">
        <v>2319</v>
      </c>
      <c r="J410" t="s">
        <v>17</v>
      </c>
      <c r="K410" t="s">
        <v>3207</v>
      </c>
      <c r="L410" t="s">
        <v>3208</v>
      </c>
      <c r="M410" t="s">
        <v>3209</v>
      </c>
      <c r="N410" t="s">
        <v>395</v>
      </c>
    </row>
    <row r="411" spans="1:14" ht="11.25" customHeight="1">
      <c r="A411" t="s">
        <v>2191</v>
      </c>
      <c r="B411" t="s">
        <v>14</v>
      </c>
      <c r="C411" t="s">
        <v>3030</v>
      </c>
      <c r="D411" t="s">
        <v>3031</v>
      </c>
      <c r="E411" t="s">
        <v>3032</v>
      </c>
      <c r="F411" t="s">
        <v>2640</v>
      </c>
      <c r="G411" t="s">
        <v>17</v>
      </c>
      <c r="H411" t="s">
        <v>17</v>
      </c>
      <c r="I411" t="s">
        <v>2319</v>
      </c>
      <c r="J411" t="s">
        <v>17</v>
      </c>
      <c r="K411" t="s">
        <v>3207</v>
      </c>
      <c r="L411" t="s">
        <v>3208</v>
      </c>
      <c r="M411" t="s">
        <v>3209</v>
      </c>
      <c r="N411" t="s">
        <v>395</v>
      </c>
    </row>
    <row r="412" spans="1:14" ht="11.25" customHeight="1">
      <c r="A412" t="s">
        <v>2191</v>
      </c>
      <c r="B412" t="s">
        <v>14</v>
      </c>
      <c r="C412" t="s">
        <v>3033</v>
      </c>
      <c r="D412" t="s">
        <v>3034</v>
      </c>
      <c r="E412" t="s">
        <v>3035</v>
      </c>
      <c r="F412" t="s">
        <v>2280</v>
      </c>
      <c r="G412" t="s">
        <v>17</v>
      </c>
      <c r="H412" t="s">
        <v>17</v>
      </c>
      <c r="I412" t="s">
        <v>3232</v>
      </c>
      <c r="J412" t="s">
        <v>17</v>
      </c>
      <c r="K412" t="s">
        <v>3212</v>
      </c>
      <c r="L412" t="s">
        <v>1069</v>
      </c>
      <c r="M412" t="s">
        <v>3213</v>
      </c>
      <c r="N412" t="s">
        <v>395</v>
      </c>
    </row>
    <row r="413" spans="1:14" ht="11.25" customHeight="1">
      <c r="A413" t="s">
        <v>2191</v>
      </c>
      <c r="B413" t="s">
        <v>14</v>
      </c>
      <c r="C413" t="s">
        <v>3036</v>
      </c>
      <c r="D413" t="s">
        <v>3037</v>
      </c>
      <c r="E413" t="s">
        <v>3038</v>
      </c>
      <c r="F413" t="s">
        <v>2691</v>
      </c>
      <c r="G413" t="s">
        <v>17</v>
      </c>
      <c r="H413" t="s">
        <v>17</v>
      </c>
      <c r="I413" t="s">
        <v>2319</v>
      </c>
      <c r="J413" t="s">
        <v>17</v>
      </c>
      <c r="K413" t="s">
        <v>3207</v>
      </c>
      <c r="L413" t="s">
        <v>3208</v>
      </c>
      <c r="M413" t="s">
        <v>3209</v>
      </c>
      <c r="N413" t="s">
        <v>395</v>
      </c>
    </row>
    <row r="414" spans="1:14" ht="11.25" customHeight="1">
      <c r="A414" t="s">
        <v>2191</v>
      </c>
      <c r="B414" t="s">
        <v>14</v>
      </c>
      <c r="C414" t="s">
        <v>3039</v>
      </c>
      <c r="D414" t="s">
        <v>3040</v>
      </c>
      <c r="E414" t="s">
        <v>3041</v>
      </c>
      <c r="F414" t="s">
        <v>2739</v>
      </c>
      <c r="G414" t="s">
        <v>17</v>
      </c>
      <c r="H414" t="s">
        <v>17</v>
      </c>
      <c r="I414" t="s">
        <v>2319</v>
      </c>
      <c r="J414" t="s">
        <v>17</v>
      </c>
      <c r="K414" t="s">
        <v>3207</v>
      </c>
      <c r="L414" t="s">
        <v>3208</v>
      </c>
      <c r="M414" t="s">
        <v>3209</v>
      </c>
      <c r="N414" t="s">
        <v>395</v>
      </c>
    </row>
    <row r="415" spans="1:14" ht="11.25" customHeight="1">
      <c r="A415" t="s">
        <v>2191</v>
      </c>
      <c r="B415" t="s">
        <v>14</v>
      </c>
      <c r="C415" t="s">
        <v>3042</v>
      </c>
      <c r="D415" t="s">
        <v>3043</v>
      </c>
      <c r="E415" t="s">
        <v>3044</v>
      </c>
      <c r="F415" t="s">
        <v>3045</v>
      </c>
      <c r="G415" t="s">
        <v>3046</v>
      </c>
      <c r="H415" t="s">
        <v>17</v>
      </c>
      <c r="I415" t="s">
        <v>2798</v>
      </c>
      <c r="J415" t="s">
        <v>17</v>
      </c>
      <c r="K415" t="s">
        <v>3207</v>
      </c>
      <c r="L415" t="s">
        <v>3208</v>
      </c>
      <c r="M415" t="s">
        <v>3209</v>
      </c>
      <c r="N415" t="s">
        <v>395</v>
      </c>
    </row>
    <row r="416" spans="1:14" ht="11.25" customHeight="1">
      <c r="A416" t="s">
        <v>2191</v>
      </c>
      <c r="B416" t="s">
        <v>14</v>
      </c>
      <c r="C416" t="s">
        <v>3047</v>
      </c>
      <c r="D416" t="s">
        <v>3048</v>
      </c>
      <c r="E416" t="s">
        <v>3049</v>
      </c>
      <c r="F416" t="s">
        <v>2257</v>
      </c>
      <c r="G416" t="s">
        <v>17</v>
      </c>
      <c r="H416" t="s">
        <v>17</v>
      </c>
      <c r="I416" t="s">
        <v>2669</v>
      </c>
      <c r="J416" t="s">
        <v>17</v>
      </c>
      <c r="K416" t="s">
        <v>3207</v>
      </c>
      <c r="L416" t="s">
        <v>3208</v>
      </c>
      <c r="M416" t="s">
        <v>3209</v>
      </c>
      <c r="N416" t="s">
        <v>395</v>
      </c>
    </row>
    <row r="417" spans="1:14" ht="11.25" customHeight="1">
      <c r="A417" t="s">
        <v>2191</v>
      </c>
      <c r="B417" t="s">
        <v>14</v>
      </c>
      <c r="C417" t="s">
        <v>3050</v>
      </c>
      <c r="D417" t="s">
        <v>3051</v>
      </c>
      <c r="E417" t="s">
        <v>3052</v>
      </c>
      <c r="F417" t="s">
        <v>3053</v>
      </c>
      <c r="G417" t="s">
        <v>17</v>
      </c>
      <c r="H417" t="s">
        <v>17</v>
      </c>
      <c r="I417" t="s">
        <v>2669</v>
      </c>
      <c r="J417" t="s">
        <v>17</v>
      </c>
      <c r="K417" t="s">
        <v>3207</v>
      </c>
      <c r="L417" t="s">
        <v>3208</v>
      </c>
      <c r="M417" t="s">
        <v>3209</v>
      </c>
      <c r="N417" t="s">
        <v>395</v>
      </c>
    </row>
    <row r="418" spans="1:14" ht="11.25" customHeight="1">
      <c r="A418" t="s">
        <v>2191</v>
      </c>
      <c r="B418" t="s">
        <v>14</v>
      </c>
      <c r="C418" t="s">
        <v>3050</v>
      </c>
      <c r="D418" t="s">
        <v>3051</v>
      </c>
      <c r="E418" t="s">
        <v>3052</v>
      </c>
      <c r="F418" t="s">
        <v>3053</v>
      </c>
      <c r="G418" t="s">
        <v>17</v>
      </c>
      <c r="H418" t="s">
        <v>17</v>
      </c>
      <c r="I418" t="s">
        <v>2319</v>
      </c>
      <c r="J418" t="s">
        <v>17</v>
      </c>
      <c r="K418" t="s">
        <v>3207</v>
      </c>
      <c r="L418" t="s">
        <v>3208</v>
      </c>
      <c r="M418" t="s">
        <v>3209</v>
      </c>
      <c r="N418" t="s">
        <v>395</v>
      </c>
    </row>
    <row r="419" spans="1:14" ht="11.25" customHeight="1">
      <c r="A419" t="s">
        <v>2191</v>
      </c>
      <c r="B419" t="s">
        <v>14</v>
      </c>
      <c r="C419" t="s">
        <v>3061</v>
      </c>
      <c r="D419" t="s">
        <v>3062</v>
      </c>
      <c r="E419" t="s">
        <v>3063</v>
      </c>
      <c r="F419" t="s">
        <v>2244</v>
      </c>
      <c r="G419" t="s">
        <v>17</v>
      </c>
      <c r="H419" t="s">
        <v>17</v>
      </c>
      <c r="I419" t="s">
        <v>2235</v>
      </c>
      <c r="J419" t="s">
        <v>17</v>
      </c>
      <c r="K419" t="s">
        <v>3207</v>
      </c>
      <c r="L419" t="s">
        <v>3208</v>
      </c>
      <c r="M419" t="s">
        <v>3209</v>
      </c>
      <c r="N419" t="s">
        <v>395</v>
      </c>
    </row>
    <row r="420" spans="1:14" ht="11.25" customHeight="1">
      <c r="A420" t="s">
        <v>2191</v>
      </c>
      <c r="B420" t="s">
        <v>14</v>
      </c>
      <c r="C420" t="s">
        <v>3067</v>
      </c>
      <c r="D420" t="s">
        <v>3068</v>
      </c>
      <c r="E420" t="s">
        <v>3069</v>
      </c>
      <c r="F420" t="s">
        <v>2211</v>
      </c>
      <c r="G420" t="s">
        <v>17</v>
      </c>
      <c r="H420" t="s">
        <v>17</v>
      </c>
      <c r="I420" t="s">
        <v>2319</v>
      </c>
      <c r="J420" t="s">
        <v>17</v>
      </c>
      <c r="K420" t="s">
        <v>3207</v>
      </c>
      <c r="L420" t="s">
        <v>3208</v>
      </c>
      <c r="M420" t="s">
        <v>3209</v>
      </c>
      <c r="N420" t="s">
        <v>395</v>
      </c>
    </row>
    <row r="421" spans="1:14" ht="11.25" customHeight="1">
      <c r="A421" t="s">
        <v>2191</v>
      </c>
      <c r="B421" t="s">
        <v>14</v>
      </c>
      <c r="C421" t="s">
        <v>3079</v>
      </c>
      <c r="D421" t="s">
        <v>3080</v>
      </c>
      <c r="E421" t="s">
        <v>3081</v>
      </c>
      <c r="F421" t="s">
        <v>2211</v>
      </c>
      <c r="G421" t="s">
        <v>17</v>
      </c>
      <c r="H421" t="s">
        <v>17</v>
      </c>
      <c r="I421" t="s">
        <v>2319</v>
      </c>
      <c r="J421" t="s">
        <v>17</v>
      </c>
      <c r="K421" t="s">
        <v>3207</v>
      </c>
      <c r="L421" t="s">
        <v>3208</v>
      </c>
      <c r="M421" t="s">
        <v>3209</v>
      </c>
      <c r="N421" t="s">
        <v>395</v>
      </c>
    </row>
    <row r="422" spans="1:14" ht="11.25" customHeight="1">
      <c r="A422" t="s">
        <v>2191</v>
      </c>
      <c r="B422" t="s">
        <v>14</v>
      </c>
      <c r="C422" t="s">
        <v>3086</v>
      </c>
      <c r="D422" t="s">
        <v>3087</v>
      </c>
      <c r="E422" t="s">
        <v>3088</v>
      </c>
      <c r="F422" t="s">
        <v>2253</v>
      </c>
      <c r="G422" t="s">
        <v>17</v>
      </c>
      <c r="H422" t="s">
        <v>17</v>
      </c>
      <c r="I422" t="s">
        <v>2665</v>
      </c>
      <c r="J422" t="s">
        <v>17</v>
      </c>
      <c r="K422" t="s">
        <v>3207</v>
      </c>
      <c r="L422" t="s">
        <v>3208</v>
      </c>
      <c r="M422" t="s">
        <v>3209</v>
      </c>
      <c r="N422" t="s">
        <v>395</v>
      </c>
    </row>
    <row r="423" spans="1:14" ht="11.25" customHeight="1">
      <c r="A423" t="s">
        <v>2191</v>
      </c>
      <c r="B423" t="s">
        <v>14</v>
      </c>
      <c r="C423" t="s">
        <v>3089</v>
      </c>
      <c r="D423" t="s">
        <v>3090</v>
      </c>
      <c r="E423" t="s">
        <v>3091</v>
      </c>
      <c r="F423" t="s">
        <v>2211</v>
      </c>
      <c r="G423" t="s">
        <v>17</v>
      </c>
      <c r="H423" t="s">
        <v>17</v>
      </c>
      <c r="I423" t="s">
        <v>2196</v>
      </c>
      <c r="J423" t="s">
        <v>17</v>
      </c>
      <c r="K423" t="s">
        <v>3207</v>
      </c>
      <c r="L423" t="s">
        <v>3208</v>
      </c>
      <c r="M423" t="s">
        <v>3209</v>
      </c>
      <c r="N423" t="s">
        <v>395</v>
      </c>
    </row>
    <row r="424" spans="1:14" ht="11.25" customHeight="1">
      <c r="A424" t="s">
        <v>2191</v>
      </c>
      <c r="B424" t="s">
        <v>14</v>
      </c>
      <c r="C424" t="s">
        <v>3102</v>
      </c>
      <c r="D424" t="s">
        <v>3103</v>
      </c>
      <c r="E424" t="s">
        <v>3104</v>
      </c>
      <c r="F424" t="s">
        <v>2640</v>
      </c>
      <c r="G424" t="s">
        <v>17</v>
      </c>
      <c r="H424" t="s">
        <v>17</v>
      </c>
      <c r="I424" t="s">
        <v>2319</v>
      </c>
      <c r="J424" t="s">
        <v>17</v>
      </c>
      <c r="K424" t="s">
        <v>3207</v>
      </c>
      <c r="L424" t="s">
        <v>3208</v>
      </c>
      <c r="M424" t="s">
        <v>3209</v>
      </c>
      <c r="N424" t="s">
        <v>395</v>
      </c>
    </row>
    <row r="425" spans="1:14" ht="11.25" customHeight="1">
      <c r="A425" t="s">
        <v>2191</v>
      </c>
      <c r="B425" t="s">
        <v>14</v>
      </c>
      <c r="C425" t="s">
        <v>3131</v>
      </c>
      <c r="D425" t="s">
        <v>3132</v>
      </c>
      <c r="E425" t="s">
        <v>3133</v>
      </c>
      <c r="F425" t="s">
        <v>2451</v>
      </c>
      <c r="G425" t="s">
        <v>17</v>
      </c>
      <c r="H425" t="s">
        <v>17</v>
      </c>
      <c r="I425" t="s">
        <v>2319</v>
      </c>
      <c r="J425" t="s">
        <v>17</v>
      </c>
      <c r="K425" t="s">
        <v>3207</v>
      </c>
      <c r="L425" t="s">
        <v>3208</v>
      </c>
      <c r="M425" t="s">
        <v>3209</v>
      </c>
      <c r="N425" t="s">
        <v>395</v>
      </c>
    </row>
    <row r="426" spans="1:14" ht="11.25" customHeight="1">
      <c r="A426" t="s">
        <v>2191</v>
      </c>
      <c r="B426" t="s">
        <v>14</v>
      </c>
      <c r="C426" t="s">
        <v>3144</v>
      </c>
      <c r="D426" t="s">
        <v>3145</v>
      </c>
      <c r="E426" t="s">
        <v>3146</v>
      </c>
      <c r="F426" t="s">
        <v>2211</v>
      </c>
      <c r="G426" t="s">
        <v>17</v>
      </c>
      <c r="H426" t="s">
        <v>17</v>
      </c>
      <c r="I426" t="s">
        <v>3147</v>
      </c>
      <c r="J426" t="s">
        <v>17</v>
      </c>
      <c r="K426" t="s">
        <v>3207</v>
      </c>
      <c r="L426" t="s">
        <v>3208</v>
      </c>
      <c r="M426" t="s">
        <v>3209</v>
      </c>
      <c r="N426" t="s">
        <v>395</v>
      </c>
    </row>
    <row r="427" spans="1:14" ht="11.25" customHeight="1">
      <c r="A427" t="s">
        <v>2191</v>
      </c>
      <c r="B427" t="s">
        <v>14</v>
      </c>
      <c r="C427" t="s">
        <v>3148</v>
      </c>
      <c r="D427" t="s">
        <v>3149</v>
      </c>
      <c r="E427" t="s">
        <v>3150</v>
      </c>
      <c r="F427" t="s">
        <v>3151</v>
      </c>
      <c r="G427" t="s">
        <v>17</v>
      </c>
      <c r="H427" t="s">
        <v>17</v>
      </c>
      <c r="I427" t="s">
        <v>2561</v>
      </c>
      <c r="J427" t="s">
        <v>17</v>
      </c>
      <c r="K427" t="s">
        <v>3207</v>
      </c>
      <c r="L427" t="s">
        <v>3218</v>
      </c>
      <c r="M427" t="s">
        <v>3219</v>
      </c>
      <c r="N427" t="s">
        <v>395</v>
      </c>
    </row>
    <row r="428" spans="1:14" ht="11.25" customHeight="1">
      <c r="A428" t="s">
        <v>2191</v>
      </c>
      <c r="B428" t="s">
        <v>14</v>
      </c>
      <c r="C428" t="s">
        <v>3148</v>
      </c>
      <c r="D428" t="s">
        <v>3149</v>
      </c>
      <c r="E428" t="s">
        <v>3150</v>
      </c>
      <c r="F428" t="s">
        <v>3151</v>
      </c>
      <c r="G428" t="s">
        <v>17</v>
      </c>
      <c r="H428" t="s">
        <v>17</v>
      </c>
      <c r="I428" t="s">
        <v>2669</v>
      </c>
      <c r="J428" t="s">
        <v>17</v>
      </c>
      <c r="K428" t="s">
        <v>3212</v>
      </c>
      <c r="L428" t="s">
        <v>3220</v>
      </c>
      <c r="M428" t="s">
        <v>3221</v>
      </c>
      <c r="N428" t="s">
        <v>395</v>
      </c>
    </row>
    <row r="429" spans="1:14" ht="11.25" customHeight="1">
      <c r="A429" t="s">
        <v>2191</v>
      </c>
      <c r="B429" t="s">
        <v>14</v>
      </c>
      <c r="C429" t="s">
        <v>3148</v>
      </c>
      <c r="D429" t="s">
        <v>3149</v>
      </c>
      <c r="E429" t="s">
        <v>3150</v>
      </c>
      <c r="F429" t="s">
        <v>3151</v>
      </c>
      <c r="G429" t="s">
        <v>17</v>
      </c>
      <c r="H429" t="s">
        <v>17</v>
      </c>
      <c r="I429" t="s">
        <v>2319</v>
      </c>
      <c r="J429" t="s">
        <v>17</v>
      </c>
      <c r="K429" t="s">
        <v>3207</v>
      </c>
      <c r="L429" t="s">
        <v>3218</v>
      </c>
      <c r="M429" t="s">
        <v>3219</v>
      </c>
      <c r="N429" t="s">
        <v>395</v>
      </c>
    </row>
    <row r="430" spans="1:14" ht="11.25" customHeight="1">
      <c r="A430" t="s">
        <v>2191</v>
      </c>
      <c r="B430" t="s">
        <v>14</v>
      </c>
      <c r="C430" t="s">
        <v>3148</v>
      </c>
      <c r="D430" t="s">
        <v>3149</v>
      </c>
      <c r="E430" t="s">
        <v>3150</v>
      </c>
      <c r="F430" t="s">
        <v>3151</v>
      </c>
      <c r="G430" t="s">
        <v>17</v>
      </c>
      <c r="H430" t="s">
        <v>17</v>
      </c>
      <c r="I430" t="s">
        <v>2319</v>
      </c>
      <c r="J430" t="s">
        <v>17</v>
      </c>
      <c r="K430" t="s">
        <v>3212</v>
      </c>
      <c r="L430" t="s">
        <v>3220</v>
      </c>
      <c r="M430" t="s">
        <v>3221</v>
      </c>
      <c r="N430" t="s">
        <v>395</v>
      </c>
    </row>
    <row r="431" spans="1:14" ht="11.25" customHeight="1">
      <c r="A431" t="s">
        <v>2191</v>
      </c>
      <c r="B431" t="s">
        <v>14</v>
      </c>
      <c r="C431" t="s">
        <v>3162</v>
      </c>
      <c r="D431" t="s">
        <v>3163</v>
      </c>
      <c r="E431" t="s">
        <v>3164</v>
      </c>
      <c r="F431" t="s">
        <v>2248</v>
      </c>
      <c r="G431" t="s">
        <v>17</v>
      </c>
      <c r="H431" t="s">
        <v>17</v>
      </c>
      <c r="I431" t="s">
        <v>2235</v>
      </c>
      <c r="J431" t="s">
        <v>17</v>
      </c>
      <c r="K431" t="s">
        <v>3207</v>
      </c>
      <c r="L431" t="s">
        <v>3208</v>
      </c>
      <c r="M431" t="s">
        <v>3209</v>
      </c>
      <c r="N431" t="s">
        <v>395</v>
      </c>
    </row>
    <row r="432" spans="1:14" ht="11.25" customHeight="1">
      <c r="A432" t="s">
        <v>2191</v>
      </c>
      <c r="B432" t="s">
        <v>14</v>
      </c>
      <c r="C432" t="s">
        <v>3181</v>
      </c>
      <c r="D432" t="s">
        <v>3182</v>
      </c>
      <c r="E432" t="s">
        <v>3183</v>
      </c>
      <c r="F432" t="s">
        <v>2497</v>
      </c>
      <c r="G432" t="s">
        <v>17</v>
      </c>
      <c r="H432" t="s">
        <v>17</v>
      </c>
      <c r="I432" t="s">
        <v>2319</v>
      </c>
      <c r="J432" t="s">
        <v>17</v>
      </c>
      <c r="K432" t="s">
        <v>3207</v>
      </c>
      <c r="L432" t="s">
        <v>3208</v>
      </c>
      <c r="M432" t="s">
        <v>3209</v>
      </c>
      <c r="N432" t="s">
        <v>395</v>
      </c>
    </row>
    <row r="433" spans="1:14" ht="11.25" customHeight="1">
      <c r="A433" t="s">
        <v>2191</v>
      </c>
      <c r="B433" t="s">
        <v>14</v>
      </c>
      <c r="C433" t="s">
        <v>3184</v>
      </c>
      <c r="D433" t="s">
        <v>3185</v>
      </c>
      <c r="E433" t="s">
        <v>3186</v>
      </c>
      <c r="F433" t="s">
        <v>2451</v>
      </c>
      <c r="G433" t="s">
        <v>3187</v>
      </c>
      <c r="H433" t="s">
        <v>17</v>
      </c>
      <c r="I433" t="s">
        <v>2319</v>
      </c>
      <c r="J433" t="s">
        <v>17</v>
      </c>
      <c r="K433" t="s">
        <v>3212</v>
      </c>
      <c r="L433" t="s">
        <v>1069</v>
      </c>
      <c r="M433" t="s">
        <v>3213</v>
      </c>
      <c r="N433" t="s">
        <v>395</v>
      </c>
    </row>
    <row r="434" spans="1:14" ht="11.25" customHeight="1">
      <c r="A434" t="s">
        <v>2191</v>
      </c>
      <c r="B434" t="s">
        <v>14</v>
      </c>
      <c r="C434" t="s">
        <v>3188</v>
      </c>
      <c r="D434" t="s">
        <v>3189</v>
      </c>
      <c r="E434" t="s">
        <v>3190</v>
      </c>
      <c r="F434" t="s">
        <v>3191</v>
      </c>
      <c r="G434" t="s">
        <v>17</v>
      </c>
      <c r="H434" t="s">
        <v>17</v>
      </c>
      <c r="I434" t="s">
        <v>3233</v>
      </c>
      <c r="J434" t="s">
        <v>17</v>
      </c>
      <c r="K434" t="s">
        <v>3207</v>
      </c>
      <c r="L434" t="s">
        <v>3222</v>
      </c>
      <c r="M434" t="s">
        <v>3223</v>
      </c>
      <c r="N434" t="s">
        <v>395</v>
      </c>
    </row>
    <row r="435" spans="1:14" ht="11.25" customHeight="1">
      <c r="A435" t="s">
        <v>2191</v>
      </c>
      <c r="B435" t="s">
        <v>14</v>
      </c>
      <c r="C435" t="s">
        <v>3188</v>
      </c>
      <c r="D435" t="s">
        <v>3189</v>
      </c>
      <c r="E435" t="s">
        <v>3190</v>
      </c>
      <c r="F435" t="s">
        <v>3191</v>
      </c>
      <c r="G435" t="s">
        <v>17</v>
      </c>
      <c r="H435" t="s">
        <v>17</v>
      </c>
      <c r="I435" t="s">
        <v>2319</v>
      </c>
      <c r="J435" t="s">
        <v>17</v>
      </c>
      <c r="K435" t="s">
        <v>3207</v>
      </c>
      <c r="L435" t="s">
        <v>3208</v>
      </c>
      <c r="M435" t="s">
        <v>3209</v>
      </c>
      <c r="N435" t="s">
        <v>395</v>
      </c>
    </row>
    <row r="436" spans="1:14" ht="11.25" customHeight="1">
      <c r="A436" t="s">
        <v>2191</v>
      </c>
      <c r="B436" t="s">
        <v>14</v>
      </c>
      <c r="C436" t="s">
        <v>3234</v>
      </c>
      <c r="D436" t="s">
        <v>3235</v>
      </c>
      <c r="E436" t="s">
        <v>3236</v>
      </c>
      <c r="F436" t="s">
        <v>3237</v>
      </c>
      <c r="G436" t="s">
        <v>17</v>
      </c>
      <c r="H436" t="s">
        <v>17</v>
      </c>
      <c r="I436" t="s">
        <v>3238</v>
      </c>
      <c r="J436" t="s">
        <v>17</v>
      </c>
      <c r="K436" t="s">
        <v>3239</v>
      </c>
      <c r="L436" t="s">
        <v>3240</v>
      </c>
      <c r="M436" t="s">
        <v>3241</v>
      </c>
      <c r="N436" t="s">
        <v>393</v>
      </c>
    </row>
    <row r="437" spans="1:14" ht="11.25" customHeight="1">
      <c r="A437" t="s">
        <v>2191</v>
      </c>
      <c r="B437" t="s">
        <v>14</v>
      </c>
      <c r="C437" t="s">
        <v>3242</v>
      </c>
      <c r="D437" t="s">
        <v>3243</v>
      </c>
      <c r="E437" t="s">
        <v>3244</v>
      </c>
      <c r="F437" t="s">
        <v>2257</v>
      </c>
      <c r="G437" t="s">
        <v>17</v>
      </c>
      <c r="H437" t="s">
        <v>17</v>
      </c>
      <c r="I437" t="s">
        <v>2196</v>
      </c>
      <c r="J437" t="s">
        <v>17</v>
      </c>
      <c r="K437" t="s">
        <v>3239</v>
      </c>
      <c r="L437" t="s">
        <v>3245</v>
      </c>
      <c r="M437" t="s">
        <v>3246</v>
      </c>
      <c r="N437" t="s">
        <v>393</v>
      </c>
    </row>
    <row r="438" spans="1:14" ht="11.25" customHeight="1">
      <c r="A438" t="s">
        <v>2191</v>
      </c>
      <c r="B438" t="s">
        <v>14</v>
      </c>
      <c r="C438" t="s">
        <v>3242</v>
      </c>
      <c r="D438" t="s">
        <v>3243</v>
      </c>
      <c r="E438" t="s">
        <v>3244</v>
      </c>
      <c r="F438" t="s">
        <v>2257</v>
      </c>
      <c r="G438" t="s">
        <v>17</v>
      </c>
      <c r="H438" t="s">
        <v>17</v>
      </c>
      <c r="I438" t="s">
        <v>2196</v>
      </c>
      <c r="J438" t="s">
        <v>17</v>
      </c>
      <c r="K438" t="s">
        <v>3247</v>
      </c>
      <c r="L438" t="s">
        <v>3245</v>
      </c>
      <c r="M438" t="s">
        <v>3246</v>
      </c>
      <c r="N438" t="s">
        <v>393</v>
      </c>
    </row>
    <row r="439" spans="1:14" ht="11.25" customHeight="1">
      <c r="A439" t="s">
        <v>2191</v>
      </c>
      <c r="B439" t="s">
        <v>14</v>
      </c>
      <c r="C439" t="s">
        <v>2214</v>
      </c>
      <c r="D439" t="s">
        <v>2215</v>
      </c>
      <c r="E439" t="s">
        <v>2216</v>
      </c>
      <c r="F439" t="s">
        <v>2217</v>
      </c>
      <c r="G439" t="s">
        <v>17</v>
      </c>
      <c r="H439" t="s">
        <v>17</v>
      </c>
      <c r="I439" t="s">
        <v>2196</v>
      </c>
      <c r="J439" t="s">
        <v>17</v>
      </c>
      <c r="K439" t="s">
        <v>3239</v>
      </c>
      <c r="L439" t="s">
        <v>3245</v>
      </c>
      <c r="M439" t="s">
        <v>3246</v>
      </c>
      <c r="N439" t="s">
        <v>393</v>
      </c>
    </row>
    <row r="440" spans="1:14" ht="11.25" customHeight="1">
      <c r="A440" t="s">
        <v>2191</v>
      </c>
      <c r="B440" t="s">
        <v>14</v>
      </c>
      <c r="C440" t="s">
        <v>2214</v>
      </c>
      <c r="D440" t="s">
        <v>2215</v>
      </c>
      <c r="E440" t="s">
        <v>2216</v>
      </c>
      <c r="F440" t="s">
        <v>2217</v>
      </c>
      <c r="G440" t="s">
        <v>17</v>
      </c>
      <c r="H440" t="s">
        <v>17</v>
      </c>
      <c r="I440" t="s">
        <v>2196</v>
      </c>
      <c r="J440" t="s">
        <v>17</v>
      </c>
      <c r="K440" t="s">
        <v>3247</v>
      </c>
      <c r="L440" t="s">
        <v>3245</v>
      </c>
      <c r="M440" t="s">
        <v>3246</v>
      </c>
      <c r="N440" t="s">
        <v>393</v>
      </c>
    </row>
    <row r="441" spans="1:14" ht="11.25" customHeight="1">
      <c r="A441" t="s">
        <v>2191</v>
      </c>
      <c r="B441" t="s">
        <v>14</v>
      </c>
      <c r="C441" t="s">
        <v>3248</v>
      </c>
      <c r="D441" t="s">
        <v>3249</v>
      </c>
      <c r="E441" t="s">
        <v>3250</v>
      </c>
      <c r="F441" t="s">
        <v>2217</v>
      </c>
      <c r="G441" t="s">
        <v>17</v>
      </c>
      <c r="H441" t="s">
        <v>17</v>
      </c>
      <c r="I441" t="s">
        <v>2486</v>
      </c>
      <c r="J441" t="s">
        <v>17</v>
      </c>
      <c r="K441" t="s">
        <v>3239</v>
      </c>
      <c r="L441" t="s">
        <v>3245</v>
      </c>
      <c r="M441" t="s">
        <v>3246</v>
      </c>
      <c r="N441" t="s">
        <v>393</v>
      </c>
    </row>
    <row r="442" spans="1:14" ht="11.25" customHeight="1">
      <c r="A442" t="s">
        <v>2191</v>
      </c>
      <c r="B442" t="s">
        <v>14</v>
      </c>
      <c r="C442" t="s">
        <v>3248</v>
      </c>
      <c r="D442" t="s">
        <v>3249</v>
      </c>
      <c r="E442" t="s">
        <v>3250</v>
      </c>
      <c r="F442" t="s">
        <v>2217</v>
      </c>
      <c r="G442" t="s">
        <v>17</v>
      </c>
      <c r="H442" t="s">
        <v>17</v>
      </c>
      <c r="I442" t="s">
        <v>2486</v>
      </c>
      <c r="J442" t="s">
        <v>17</v>
      </c>
      <c r="K442" t="s">
        <v>3247</v>
      </c>
      <c r="L442" t="s">
        <v>3245</v>
      </c>
      <c r="M442" t="s">
        <v>3246</v>
      </c>
      <c r="N442" t="s">
        <v>393</v>
      </c>
    </row>
    <row r="443" spans="1:14" ht="11.25" customHeight="1">
      <c r="A443" t="s">
        <v>2191</v>
      </c>
      <c r="B443" t="s">
        <v>14</v>
      </c>
      <c r="C443" t="s">
        <v>2231</v>
      </c>
      <c r="D443" t="s">
        <v>2232</v>
      </c>
      <c r="E443" t="s">
        <v>2233</v>
      </c>
      <c r="F443" t="s">
        <v>2234</v>
      </c>
      <c r="G443" t="s">
        <v>17</v>
      </c>
      <c r="H443" t="s">
        <v>17</v>
      </c>
      <c r="I443" t="s">
        <v>2235</v>
      </c>
      <c r="J443" t="s">
        <v>17</v>
      </c>
      <c r="K443" t="s">
        <v>3239</v>
      </c>
      <c r="L443" t="s">
        <v>3251</v>
      </c>
      <c r="M443" t="s">
        <v>3252</v>
      </c>
      <c r="N443" t="s">
        <v>393</v>
      </c>
    </row>
    <row r="444" spans="1:14" ht="11.25" customHeight="1">
      <c r="A444" t="s">
        <v>2191</v>
      </c>
      <c r="B444" t="s">
        <v>14</v>
      </c>
      <c r="C444" t="s">
        <v>2231</v>
      </c>
      <c r="D444" t="s">
        <v>2232</v>
      </c>
      <c r="E444" t="s">
        <v>2233</v>
      </c>
      <c r="F444" t="s">
        <v>2234</v>
      </c>
      <c r="G444" t="s">
        <v>17</v>
      </c>
      <c r="H444" t="s">
        <v>17</v>
      </c>
      <c r="I444" t="s">
        <v>2235</v>
      </c>
      <c r="J444" t="s">
        <v>17</v>
      </c>
      <c r="K444" t="s">
        <v>3247</v>
      </c>
      <c r="L444" t="s">
        <v>3251</v>
      </c>
      <c r="M444" t="s">
        <v>3252</v>
      </c>
      <c r="N444" t="s">
        <v>393</v>
      </c>
    </row>
    <row r="445" spans="1:14" ht="11.25" customHeight="1">
      <c r="A445" t="s">
        <v>2191</v>
      </c>
      <c r="B445" t="s">
        <v>14</v>
      </c>
      <c r="C445" t="s">
        <v>3253</v>
      </c>
      <c r="D445" t="s">
        <v>3254</v>
      </c>
      <c r="E445" t="s">
        <v>3255</v>
      </c>
      <c r="F445" t="s">
        <v>2248</v>
      </c>
      <c r="G445" t="s">
        <v>17</v>
      </c>
      <c r="H445" t="s">
        <v>17</v>
      </c>
      <c r="I445" t="s">
        <v>2196</v>
      </c>
      <c r="J445" t="s">
        <v>17</v>
      </c>
      <c r="K445" t="s">
        <v>3239</v>
      </c>
      <c r="L445" t="s">
        <v>3245</v>
      </c>
      <c r="M445" t="s">
        <v>3246</v>
      </c>
      <c r="N445" t="s">
        <v>393</v>
      </c>
    </row>
    <row r="446" spans="1:14" ht="11.25" customHeight="1">
      <c r="A446" t="s">
        <v>2191</v>
      </c>
      <c r="B446" t="s">
        <v>14</v>
      </c>
      <c r="C446" t="s">
        <v>3253</v>
      </c>
      <c r="D446" t="s">
        <v>3254</v>
      </c>
      <c r="E446" t="s">
        <v>3255</v>
      </c>
      <c r="F446" t="s">
        <v>2248</v>
      </c>
      <c r="G446" t="s">
        <v>17</v>
      </c>
      <c r="H446" t="s">
        <v>17</v>
      </c>
      <c r="I446" t="s">
        <v>2196</v>
      </c>
      <c r="J446" t="s">
        <v>17</v>
      </c>
      <c r="K446" t="s">
        <v>3247</v>
      </c>
      <c r="L446" t="s">
        <v>3245</v>
      </c>
      <c r="M446" t="s">
        <v>3246</v>
      </c>
      <c r="N446" t="s">
        <v>393</v>
      </c>
    </row>
    <row r="447" spans="1:14" ht="11.25" customHeight="1">
      <c r="A447" t="s">
        <v>2191</v>
      </c>
      <c r="B447" t="s">
        <v>14</v>
      </c>
      <c r="C447" t="s">
        <v>2245</v>
      </c>
      <c r="D447" t="s">
        <v>2246</v>
      </c>
      <c r="E447" t="s">
        <v>2247</v>
      </c>
      <c r="F447" t="s">
        <v>2248</v>
      </c>
      <c r="G447" t="s">
        <v>17</v>
      </c>
      <c r="H447" t="s">
        <v>17</v>
      </c>
      <c r="I447" t="s">
        <v>3256</v>
      </c>
      <c r="J447" t="s">
        <v>17</v>
      </c>
      <c r="K447" t="s">
        <v>3239</v>
      </c>
      <c r="L447" t="s">
        <v>3251</v>
      </c>
      <c r="M447" t="s">
        <v>3252</v>
      </c>
      <c r="N447" t="s">
        <v>393</v>
      </c>
    </row>
    <row r="448" spans="1:14" ht="11.25" customHeight="1">
      <c r="A448" t="s">
        <v>2191</v>
      </c>
      <c r="B448" t="s">
        <v>14</v>
      </c>
      <c r="C448" t="s">
        <v>2245</v>
      </c>
      <c r="D448" t="s">
        <v>2246</v>
      </c>
      <c r="E448" t="s">
        <v>2247</v>
      </c>
      <c r="F448" t="s">
        <v>2248</v>
      </c>
      <c r="G448" t="s">
        <v>17</v>
      </c>
      <c r="H448" t="s">
        <v>17</v>
      </c>
      <c r="I448" t="s">
        <v>3256</v>
      </c>
      <c r="J448" t="s">
        <v>17</v>
      </c>
      <c r="K448" t="s">
        <v>3247</v>
      </c>
      <c r="L448" t="s">
        <v>3251</v>
      </c>
      <c r="M448" t="s">
        <v>3252</v>
      </c>
      <c r="N448" t="s">
        <v>393</v>
      </c>
    </row>
    <row r="449" spans="1:14" ht="11.25" customHeight="1">
      <c r="A449" t="s">
        <v>2191</v>
      </c>
      <c r="B449" t="s">
        <v>14</v>
      </c>
      <c r="C449" t="s">
        <v>2254</v>
      </c>
      <c r="D449" t="s">
        <v>2255</v>
      </c>
      <c r="E449" t="s">
        <v>2256</v>
      </c>
      <c r="F449" t="s">
        <v>2257</v>
      </c>
      <c r="G449" t="s">
        <v>17</v>
      </c>
      <c r="H449" t="s">
        <v>17</v>
      </c>
      <c r="I449" t="s">
        <v>2258</v>
      </c>
      <c r="J449" t="s">
        <v>17</v>
      </c>
      <c r="K449" t="s">
        <v>3239</v>
      </c>
      <c r="L449" t="s">
        <v>3245</v>
      </c>
      <c r="M449" t="s">
        <v>3246</v>
      </c>
      <c r="N449" t="s">
        <v>393</v>
      </c>
    </row>
    <row r="450" spans="1:14" ht="11.25" customHeight="1">
      <c r="A450" t="s">
        <v>2191</v>
      </c>
      <c r="B450" t="s">
        <v>14</v>
      </c>
      <c r="C450" t="s">
        <v>2254</v>
      </c>
      <c r="D450" t="s">
        <v>2255</v>
      </c>
      <c r="E450" t="s">
        <v>2256</v>
      </c>
      <c r="F450" t="s">
        <v>2257</v>
      </c>
      <c r="G450" t="s">
        <v>17</v>
      </c>
      <c r="H450" t="s">
        <v>17</v>
      </c>
      <c r="I450" t="s">
        <v>2258</v>
      </c>
      <c r="J450" t="s">
        <v>17</v>
      </c>
      <c r="K450" t="s">
        <v>3247</v>
      </c>
      <c r="L450" t="s">
        <v>3245</v>
      </c>
      <c r="M450" t="s">
        <v>3246</v>
      </c>
      <c r="N450" t="s">
        <v>393</v>
      </c>
    </row>
    <row r="451" spans="1:14" ht="11.25" customHeight="1">
      <c r="A451" t="s">
        <v>2191</v>
      </c>
      <c r="B451" t="s">
        <v>14</v>
      </c>
      <c r="C451" t="s">
        <v>3257</v>
      </c>
      <c r="D451" t="s">
        <v>3258</v>
      </c>
      <c r="E451" t="s">
        <v>3259</v>
      </c>
      <c r="F451" t="s">
        <v>2248</v>
      </c>
      <c r="G451" t="s">
        <v>17</v>
      </c>
      <c r="H451" t="s">
        <v>17</v>
      </c>
      <c r="I451" t="s">
        <v>2561</v>
      </c>
      <c r="J451" t="s">
        <v>17</v>
      </c>
      <c r="K451" t="s">
        <v>3239</v>
      </c>
      <c r="L451" t="s">
        <v>3260</v>
      </c>
      <c r="M451" t="s">
        <v>3261</v>
      </c>
      <c r="N451" t="s">
        <v>393</v>
      </c>
    </row>
    <row r="452" spans="1:14" ht="11.25" customHeight="1">
      <c r="A452" t="s">
        <v>2191</v>
      </c>
      <c r="B452" t="s">
        <v>14</v>
      </c>
      <c r="C452" t="s">
        <v>3262</v>
      </c>
      <c r="D452" t="s">
        <v>3263</v>
      </c>
      <c r="E452" t="s">
        <v>3264</v>
      </c>
      <c r="F452" t="s">
        <v>2257</v>
      </c>
      <c r="G452" t="s">
        <v>17</v>
      </c>
      <c r="H452" t="s">
        <v>17</v>
      </c>
      <c r="I452" t="s">
        <v>3224</v>
      </c>
      <c r="J452" t="s">
        <v>17</v>
      </c>
      <c r="K452" t="s">
        <v>3239</v>
      </c>
      <c r="L452" t="s">
        <v>3245</v>
      </c>
      <c r="M452" t="s">
        <v>3246</v>
      </c>
      <c r="N452" t="s">
        <v>393</v>
      </c>
    </row>
    <row r="453" spans="1:14" ht="11.25" customHeight="1">
      <c r="A453" t="s">
        <v>2191</v>
      </c>
      <c r="B453" t="s">
        <v>14</v>
      </c>
      <c r="C453" t="s">
        <v>3262</v>
      </c>
      <c r="D453" t="s">
        <v>3263</v>
      </c>
      <c r="E453" t="s">
        <v>3264</v>
      </c>
      <c r="F453" t="s">
        <v>2257</v>
      </c>
      <c r="G453" t="s">
        <v>17</v>
      </c>
      <c r="H453" t="s">
        <v>17</v>
      </c>
      <c r="I453" t="s">
        <v>3224</v>
      </c>
      <c r="J453" t="s">
        <v>17</v>
      </c>
      <c r="K453" t="s">
        <v>3247</v>
      </c>
      <c r="L453" t="s">
        <v>3245</v>
      </c>
      <c r="M453" t="s">
        <v>3246</v>
      </c>
      <c r="N453" t="s">
        <v>393</v>
      </c>
    </row>
    <row r="454" spans="1:14" ht="11.25" customHeight="1">
      <c r="A454" t="s">
        <v>2191</v>
      </c>
      <c r="B454" t="s">
        <v>14</v>
      </c>
      <c r="C454" t="s">
        <v>2288</v>
      </c>
      <c r="D454" t="s">
        <v>2289</v>
      </c>
      <c r="E454" t="s">
        <v>2290</v>
      </c>
      <c r="F454" t="s">
        <v>2291</v>
      </c>
      <c r="G454" t="s">
        <v>17</v>
      </c>
      <c r="H454" t="s">
        <v>17</v>
      </c>
      <c r="I454" t="s">
        <v>3265</v>
      </c>
      <c r="J454" t="s">
        <v>17</v>
      </c>
      <c r="K454" t="s">
        <v>3239</v>
      </c>
      <c r="L454" t="s">
        <v>3266</v>
      </c>
      <c r="M454" t="s">
        <v>3267</v>
      </c>
      <c r="N454" t="s">
        <v>393</v>
      </c>
    </row>
    <row r="455" spans="1:14" ht="11.25" customHeight="1">
      <c r="A455" t="s">
        <v>2191</v>
      </c>
      <c r="B455" t="s">
        <v>14</v>
      </c>
      <c r="C455" t="s">
        <v>3268</v>
      </c>
      <c r="D455" t="s">
        <v>3269</v>
      </c>
      <c r="E455" t="s">
        <v>3270</v>
      </c>
      <c r="F455" t="s">
        <v>2195</v>
      </c>
      <c r="G455" t="s">
        <v>17</v>
      </c>
      <c r="H455" t="s">
        <v>17</v>
      </c>
      <c r="I455" t="s">
        <v>2196</v>
      </c>
      <c r="J455" t="s">
        <v>17</v>
      </c>
      <c r="K455" t="s">
        <v>3239</v>
      </c>
      <c r="L455" t="s">
        <v>3240</v>
      </c>
      <c r="M455" t="s">
        <v>3241</v>
      </c>
      <c r="N455" t="s">
        <v>393</v>
      </c>
    </row>
    <row r="456" spans="1:14" ht="11.25" customHeight="1">
      <c r="A456" t="s">
        <v>2191</v>
      </c>
      <c r="B456" t="s">
        <v>14</v>
      </c>
      <c r="C456" t="s">
        <v>3268</v>
      </c>
      <c r="D456" t="s">
        <v>3269</v>
      </c>
      <c r="E456" t="s">
        <v>3270</v>
      </c>
      <c r="F456" t="s">
        <v>2195</v>
      </c>
      <c r="G456" t="s">
        <v>17</v>
      </c>
      <c r="H456" t="s">
        <v>17</v>
      </c>
      <c r="I456" t="s">
        <v>2319</v>
      </c>
      <c r="J456" t="s">
        <v>17</v>
      </c>
      <c r="K456" t="s">
        <v>3239</v>
      </c>
      <c r="L456" t="s">
        <v>3271</v>
      </c>
      <c r="M456" t="s">
        <v>3272</v>
      </c>
      <c r="N456" t="s">
        <v>393</v>
      </c>
    </row>
    <row r="457" spans="1:14" ht="11.25" customHeight="1">
      <c r="A457" t="s">
        <v>2191</v>
      </c>
      <c r="B457" t="s">
        <v>14</v>
      </c>
      <c r="C457" t="s">
        <v>3268</v>
      </c>
      <c r="D457" t="s">
        <v>3269</v>
      </c>
      <c r="E457" t="s">
        <v>3270</v>
      </c>
      <c r="F457" t="s">
        <v>2195</v>
      </c>
      <c r="G457" t="s">
        <v>17</v>
      </c>
      <c r="H457" t="s">
        <v>17</v>
      </c>
      <c r="I457" t="s">
        <v>2319</v>
      </c>
      <c r="J457" t="s">
        <v>17</v>
      </c>
      <c r="K457" t="s">
        <v>3247</v>
      </c>
      <c r="L457" t="s">
        <v>3271</v>
      </c>
      <c r="M457" t="s">
        <v>3272</v>
      </c>
      <c r="N457" t="s">
        <v>393</v>
      </c>
    </row>
    <row r="458" spans="1:14" ht="11.25" customHeight="1">
      <c r="A458" t="s">
        <v>2191</v>
      </c>
      <c r="B458" t="s">
        <v>14</v>
      </c>
      <c r="C458" t="s">
        <v>2305</v>
      </c>
      <c r="D458" t="s">
        <v>2306</v>
      </c>
      <c r="E458" t="s">
        <v>2307</v>
      </c>
      <c r="F458" t="s">
        <v>2308</v>
      </c>
      <c r="G458" t="s">
        <v>17</v>
      </c>
      <c r="H458" t="s">
        <v>17</v>
      </c>
      <c r="I458" t="s">
        <v>2235</v>
      </c>
      <c r="J458" t="s">
        <v>17</v>
      </c>
      <c r="K458" t="s">
        <v>3239</v>
      </c>
      <c r="L458" t="s">
        <v>3245</v>
      </c>
      <c r="M458" t="s">
        <v>3246</v>
      </c>
      <c r="N458" t="s">
        <v>393</v>
      </c>
    </row>
    <row r="459" spans="1:14" ht="11.25" customHeight="1">
      <c r="A459" t="s">
        <v>2191</v>
      </c>
      <c r="B459" t="s">
        <v>14</v>
      </c>
      <c r="C459" t="s">
        <v>2305</v>
      </c>
      <c r="D459" t="s">
        <v>2306</v>
      </c>
      <c r="E459" t="s">
        <v>2307</v>
      </c>
      <c r="F459" t="s">
        <v>2308</v>
      </c>
      <c r="G459" t="s">
        <v>17</v>
      </c>
      <c r="H459" t="s">
        <v>17</v>
      </c>
      <c r="I459" t="s">
        <v>2235</v>
      </c>
      <c r="J459" t="s">
        <v>17</v>
      </c>
      <c r="K459" t="s">
        <v>3247</v>
      </c>
      <c r="L459" t="s">
        <v>3245</v>
      </c>
      <c r="M459" t="s">
        <v>3246</v>
      </c>
      <c r="N459" t="s">
        <v>393</v>
      </c>
    </row>
    <row r="460" spans="1:14" ht="11.25" customHeight="1">
      <c r="A460" t="s">
        <v>2191</v>
      </c>
      <c r="B460" t="s">
        <v>14</v>
      </c>
      <c r="C460" t="s">
        <v>2320</v>
      </c>
      <c r="D460" t="s">
        <v>2321</v>
      </c>
      <c r="E460" t="s">
        <v>2307</v>
      </c>
      <c r="F460" t="s">
        <v>2322</v>
      </c>
      <c r="G460" t="s">
        <v>17</v>
      </c>
      <c r="H460" t="s">
        <v>17</v>
      </c>
      <c r="I460" t="s">
        <v>2319</v>
      </c>
      <c r="J460" t="s">
        <v>17</v>
      </c>
      <c r="K460" t="s">
        <v>3239</v>
      </c>
      <c r="L460" t="s">
        <v>3245</v>
      </c>
      <c r="M460" t="s">
        <v>3246</v>
      </c>
      <c r="N460" t="s">
        <v>393</v>
      </c>
    </row>
    <row r="461" spans="1:14" ht="11.25" customHeight="1">
      <c r="A461" t="s">
        <v>2191</v>
      </c>
      <c r="B461" t="s">
        <v>14</v>
      </c>
      <c r="C461" t="s">
        <v>2320</v>
      </c>
      <c r="D461" t="s">
        <v>2321</v>
      </c>
      <c r="E461" t="s">
        <v>2307</v>
      </c>
      <c r="F461" t="s">
        <v>2322</v>
      </c>
      <c r="G461" t="s">
        <v>17</v>
      </c>
      <c r="H461" t="s">
        <v>17</v>
      </c>
      <c r="I461" t="s">
        <v>2319</v>
      </c>
      <c r="J461" t="s">
        <v>17</v>
      </c>
      <c r="K461" t="s">
        <v>3247</v>
      </c>
      <c r="L461" t="s">
        <v>3245</v>
      </c>
      <c r="M461" t="s">
        <v>3246</v>
      </c>
      <c r="N461" t="s">
        <v>393</v>
      </c>
    </row>
    <row r="462" spans="1:14" ht="11.25" customHeight="1">
      <c r="A462" t="s">
        <v>2191</v>
      </c>
      <c r="B462" t="s">
        <v>14</v>
      </c>
      <c r="C462" t="s">
        <v>2327</v>
      </c>
      <c r="D462" t="s">
        <v>2328</v>
      </c>
      <c r="E462" t="s">
        <v>2307</v>
      </c>
      <c r="F462" t="s">
        <v>2329</v>
      </c>
      <c r="G462" t="s">
        <v>17</v>
      </c>
      <c r="H462" t="s">
        <v>17</v>
      </c>
      <c r="I462" t="s">
        <v>2319</v>
      </c>
      <c r="J462" t="s">
        <v>17</v>
      </c>
      <c r="K462" t="s">
        <v>3239</v>
      </c>
      <c r="L462" t="s">
        <v>3245</v>
      </c>
      <c r="M462" t="s">
        <v>3246</v>
      </c>
      <c r="N462" t="s">
        <v>393</v>
      </c>
    </row>
    <row r="463" spans="1:14" ht="11.25" customHeight="1">
      <c r="A463" t="s">
        <v>2191</v>
      </c>
      <c r="B463" t="s">
        <v>14</v>
      </c>
      <c r="C463" t="s">
        <v>2327</v>
      </c>
      <c r="D463" t="s">
        <v>2328</v>
      </c>
      <c r="E463" t="s">
        <v>2307</v>
      </c>
      <c r="F463" t="s">
        <v>2329</v>
      </c>
      <c r="G463" t="s">
        <v>17</v>
      </c>
      <c r="H463" t="s">
        <v>17</v>
      </c>
      <c r="I463" t="s">
        <v>2319</v>
      </c>
      <c r="J463" t="s">
        <v>17</v>
      </c>
      <c r="K463" t="s">
        <v>3247</v>
      </c>
      <c r="L463" t="s">
        <v>3245</v>
      </c>
      <c r="M463" t="s">
        <v>3246</v>
      </c>
      <c r="N463" t="s">
        <v>393</v>
      </c>
    </row>
    <row r="464" spans="1:14" ht="11.25" customHeight="1">
      <c r="A464" t="s">
        <v>2191</v>
      </c>
      <c r="B464" t="s">
        <v>14</v>
      </c>
      <c r="C464" t="s">
        <v>3273</v>
      </c>
      <c r="D464" t="s">
        <v>3274</v>
      </c>
      <c r="E464" t="s">
        <v>3275</v>
      </c>
      <c r="F464" t="s">
        <v>2234</v>
      </c>
      <c r="G464" t="s">
        <v>17</v>
      </c>
      <c r="H464" t="s">
        <v>17</v>
      </c>
      <c r="I464" t="s">
        <v>2235</v>
      </c>
      <c r="J464" t="s">
        <v>17</v>
      </c>
      <c r="K464" t="s">
        <v>3239</v>
      </c>
      <c r="L464" t="s">
        <v>3245</v>
      </c>
      <c r="M464" t="s">
        <v>3246</v>
      </c>
      <c r="N464" t="s">
        <v>393</v>
      </c>
    </row>
    <row r="465" spans="1:14" ht="11.25" customHeight="1">
      <c r="A465" t="s">
        <v>2191</v>
      </c>
      <c r="B465" t="s">
        <v>14</v>
      </c>
      <c r="C465" t="s">
        <v>3273</v>
      </c>
      <c r="D465" t="s">
        <v>3274</v>
      </c>
      <c r="E465" t="s">
        <v>3275</v>
      </c>
      <c r="F465" t="s">
        <v>2234</v>
      </c>
      <c r="G465" t="s">
        <v>17</v>
      </c>
      <c r="H465" t="s">
        <v>17</v>
      </c>
      <c r="I465" t="s">
        <v>2235</v>
      </c>
      <c r="J465" t="s">
        <v>17</v>
      </c>
      <c r="K465" t="s">
        <v>3247</v>
      </c>
      <c r="L465" t="s">
        <v>3245</v>
      </c>
      <c r="M465" t="s">
        <v>3246</v>
      </c>
      <c r="N465" t="s">
        <v>393</v>
      </c>
    </row>
    <row r="466" spans="1:14" ht="11.25" customHeight="1">
      <c r="A466" t="s">
        <v>2191</v>
      </c>
      <c r="B466" t="s">
        <v>14</v>
      </c>
      <c r="C466" t="s">
        <v>3276</v>
      </c>
      <c r="D466" t="s">
        <v>3277</v>
      </c>
      <c r="E466" t="s">
        <v>3278</v>
      </c>
      <c r="F466" t="s">
        <v>3279</v>
      </c>
      <c r="G466" t="s">
        <v>3280</v>
      </c>
      <c r="H466" t="s">
        <v>17</v>
      </c>
      <c r="I466" t="s">
        <v>2319</v>
      </c>
      <c r="J466" t="s">
        <v>17</v>
      </c>
      <c r="K466" t="s">
        <v>3239</v>
      </c>
      <c r="L466" t="s">
        <v>3240</v>
      </c>
      <c r="M466" t="s">
        <v>3241</v>
      </c>
      <c r="N466" t="s">
        <v>393</v>
      </c>
    </row>
    <row r="467" spans="1:14" ht="11.25" customHeight="1">
      <c r="A467" t="s">
        <v>2191</v>
      </c>
      <c r="B467" t="s">
        <v>14</v>
      </c>
      <c r="C467" t="s">
        <v>2349</v>
      </c>
      <c r="D467" t="s">
        <v>2350</v>
      </c>
      <c r="E467" t="s">
        <v>2351</v>
      </c>
      <c r="F467" t="s">
        <v>2202</v>
      </c>
      <c r="G467" t="s">
        <v>17</v>
      </c>
      <c r="H467" t="s">
        <v>17</v>
      </c>
      <c r="I467" t="s">
        <v>2458</v>
      </c>
      <c r="J467" t="s">
        <v>17</v>
      </c>
      <c r="K467" t="s">
        <v>3239</v>
      </c>
      <c r="L467" t="s">
        <v>3251</v>
      </c>
      <c r="M467" t="s">
        <v>3252</v>
      </c>
      <c r="N467" t="s">
        <v>393</v>
      </c>
    </row>
    <row r="468" spans="1:14" ht="11.25" customHeight="1">
      <c r="A468" t="s">
        <v>2191</v>
      </c>
      <c r="B468" t="s">
        <v>14</v>
      </c>
      <c r="C468" t="s">
        <v>2349</v>
      </c>
      <c r="D468" t="s">
        <v>2350</v>
      </c>
      <c r="E468" t="s">
        <v>2351</v>
      </c>
      <c r="F468" t="s">
        <v>2202</v>
      </c>
      <c r="G468" t="s">
        <v>17</v>
      </c>
      <c r="H468" t="s">
        <v>17</v>
      </c>
      <c r="I468" t="s">
        <v>2458</v>
      </c>
      <c r="J468" t="s">
        <v>17</v>
      </c>
      <c r="K468" t="s">
        <v>3247</v>
      </c>
      <c r="L468" t="s">
        <v>3251</v>
      </c>
      <c r="M468" t="s">
        <v>3252</v>
      </c>
      <c r="N468" t="s">
        <v>393</v>
      </c>
    </row>
    <row r="469" spans="1:14" ht="11.25" customHeight="1">
      <c r="A469" t="s">
        <v>2191</v>
      </c>
      <c r="B469" t="s">
        <v>14</v>
      </c>
      <c r="C469" t="s">
        <v>3281</v>
      </c>
      <c r="D469" t="s">
        <v>3282</v>
      </c>
      <c r="E469" t="s">
        <v>3283</v>
      </c>
      <c r="F469" t="s">
        <v>2211</v>
      </c>
      <c r="G469" t="s">
        <v>17</v>
      </c>
      <c r="H469" t="s">
        <v>17</v>
      </c>
      <c r="I469" t="s">
        <v>2669</v>
      </c>
      <c r="J469" t="s">
        <v>17</v>
      </c>
      <c r="K469" t="s">
        <v>3239</v>
      </c>
      <c r="L469" t="s">
        <v>3245</v>
      </c>
      <c r="M469" t="s">
        <v>3246</v>
      </c>
      <c r="N469" t="s">
        <v>393</v>
      </c>
    </row>
    <row r="470" spans="1:14" ht="11.25" customHeight="1">
      <c r="A470" t="s">
        <v>2191</v>
      </c>
      <c r="B470" t="s">
        <v>14</v>
      </c>
      <c r="C470" t="s">
        <v>3281</v>
      </c>
      <c r="D470" t="s">
        <v>3282</v>
      </c>
      <c r="E470" t="s">
        <v>3283</v>
      </c>
      <c r="F470" t="s">
        <v>2211</v>
      </c>
      <c r="G470" t="s">
        <v>17</v>
      </c>
      <c r="H470" t="s">
        <v>17</v>
      </c>
      <c r="I470" t="s">
        <v>2669</v>
      </c>
      <c r="J470" t="s">
        <v>17</v>
      </c>
      <c r="K470" t="s">
        <v>3247</v>
      </c>
      <c r="L470" t="s">
        <v>3245</v>
      </c>
      <c r="M470" t="s">
        <v>3246</v>
      </c>
      <c r="N470" t="s">
        <v>393</v>
      </c>
    </row>
    <row r="471" spans="1:14" ht="11.25" customHeight="1">
      <c r="A471" t="s">
        <v>2191</v>
      </c>
      <c r="B471" t="s">
        <v>14</v>
      </c>
      <c r="C471" t="s">
        <v>2371</v>
      </c>
      <c r="D471" t="s">
        <v>2372</v>
      </c>
      <c r="E471" t="s">
        <v>2373</v>
      </c>
      <c r="F471" t="s">
        <v>2374</v>
      </c>
      <c r="G471" t="s">
        <v>17</v>
      </c>
      <c r="H471" t="s">
        <v>17</v>
      </c>
      <c r="I471" t="s">
        <v>2196</v>
      </c>
      <c r="J471" t="s">
        <v>17</v>
      </c>
      <c r="K471" t="s">
        <v>3239</v>
      </c>
      <c r="L471" t="s">
        <v>3245</v>
      </c>
      <c r="M471" t="s">
        <v>3246</v>
      </c>
      <c r="N471" t="s">
        <v>393</v>
      </c>
    </row>
    <row r="472" spans="1:14" ht="11.25" customHeight="1">
      <c r="A472" t="s">
        <v>2191</v>
      </c>
      <c r="B472" t="s">
        <v>14</v>
      </c>
      <c r="C472" t="s">
        <v>2371</v>
      </c>
      <c r="D472" t="s">
        <v>2372</v>
      </c>
      <c r="E472" t="s">
        <v>2373</v>
      </c>
      <c r="F472" t="s">
        <v>2374</v>
      </c>
      <c r="G472" t="s">
        <v>17</v>
      </c>
      <c r="H472" t="s">
        <v>17</v>
      </c>
      <c r="I472" t="s">
        <v>2196</v>
      </c>
      <c r="J472" t="s">
        <v>17</v>
      </c>
      <c r="K472" t="s">
        <v>3247</v>
      </c>
      <c r="L472" t="s">
        <v>3245</v>
      </c>
      <c r="M472" t="s">
        <v>3246</v>
      </c>
      <c r="N472" t="s">
        <v>393</v>
      </c>
    </row>
    <row r="473" spans="1:14" ht="11.25" customHeight="1">
      <c r="A473" t="s">
        <v>2191</v>
      </c>
      <c r="B473" t="s">
        <v>14</v>
      </c>
      <c r="C473" t="s">
        <v>2379</v>
      </c>
      <c r="D473" t="s">
        <v>2380</v>
      </c>
      <c r="E473" t="s">
        <v>2381</v>
      </c>
      <c r="F473" t="s">
        <v>2382</v>
      </c>
      <c r="G473" t="s">
        <v>2383</v>
      </c>
      <c r="H473" t="s">
        <v>17</v>
      </c>
      <c r="I473" t="s">
        <v>2319</v>
      </c>
      <c r="J473" t="s">
        <v>17</v>
      </c>
      <c r="K473" t="s">
        <v>3239</v>
      </c>
      <c r="L473" t="s">
        <v>3245</v>
      </c>
      <c r="M473" t="s">
        <v>3246</v>
      </c>
      <c r="N473" t="s">
        <v>393</v>
      </c>
    </row>
    <row r="474" spans="1:14" ht="11.25" customHeight="1">
      <c r="A474" t="s">
        <v>2191</v>
      </c>
      <c r="B474" t="s">
        <v>14</v>
      </c>
      <c r="C474" t="s">
        <v>2379</v>
      </c>
      <c r="D474" t="s">
        <v>2380</v>
      </c>
      <c r="E474" t="s">
        <v>2381</v>
      </c>
      <c r="F474" t="s">
        <v>2382</v>
      </c>
      <c r="G474" t="s">
        <v>2383</v>
      </c>
      <c r="H474" t="s">
        <v>17</v>
      </c>
      <c r="I474" t="s">
        <v>2319</v>
      </c>
      <c r="J474" t="s">
        <v>17</v>
      </c>
      <c r="K474" t="s">
        <v>3247</v>
      </c>
      <c r="L474" t="s">
        <v>3245</v>
      </c>
      <c r="M474" t="s">
        <v>3246</v>
      </c>
      <c r="N474" t="s">
        <v>393</v>
      </c>
    </row>
    <row r="475" spans="1:14" ht="11.25" customHeight="1">
      <c r="A475" t="s">
        <v>2191</v>
      </c>
      <c r="B475" t="s">
        <v>14</v>
      </c>
      <c r="C475" t="s">
        <v>3284</v>
      </c>
      <c r="D475" t="s">
        <v>3285</v>
      </c>
      <c r="E475" t="s">
        <v>3286</v>
      </c>
      <c r="F475" t="s">
        <v>2677</v>
      </c>
      <c r="G475" t="s">
        <v>17</v>
      </c>
      <c r="H475" t="s">
        <v>17</v>
      </c>
      <c r="I475" t="s">
        <v>2442</v>
      </c>
      <c r="J475" t="s">
        <v>17</v>
      </c>
      <c r="K475" t="s">
        <v>3239</v>
      </c>
      <c r="L475" t="s">
        <v>3245</v>
      </c>
      <c r="M475" t="s">
        <v>3246</v>
      </c>
      <c r="N475" t="s">
        <v>393</v>
      </c>
    </row>
    <row r="476" spans="1:14" ht="11.25" customHeight="1">
      <c r="A476" t="s">
        <v>2191</v>
      </c>
      <c r="B476" t="s">
        <v>14</v>
      </c>
      <c r="C476" t="s">
        <v>3284</v>
      </c>
      <c r="D476" t="s">
        <v>3285</v>
      </c>
      <c r="E476" t="s">
        <v>3286</v>
      </c>
      <c r="F476" t="s">
        <v>2677</v>
      </c>
      <c r="G476" t="s">
        <v>17</v>
      </c>
      <c r="H476" t="s">
        <v>17</v>
      </c>
      <c r="I476" t="s">
        <v>2442</v>
      </c>
      <c r="J476" t="s">
        <v>17</v>
      </c>
      <c r="K476" t="s">
        <v>3247</v>
      </c>
      <c r="L476" t="s">
        <v>3245</v>
      </c>
      <c r="M476" t="s">
        <v>3246</v>
      </c>
      <c r="N476" t="s">
        <v>393</v>
      </c>
    </row>
    <row r="477" spans="1:14" ht="11.25" customHeight="1">
      <c r="A477" t="s">
        <v>2191</v>
      </c>
      <c r="B477" t="s">
        <v>14</v>
      </c>
      <c r="C477" t="s">
        <v>3287</v>
      </c>
      <c r="D477" t="s">
        <v>3288</v>
      </c>
      <c r="E477" t="s">
        <v>3289</v>
      </c>
      <c r="F477" t="s">
        <v>2447</v>
      </c>
      <c r="G477" t="s">
        <v>3290</v>
      </c>
      <c r="H477" t="s">
        <v>17</v>
      </c>
      <c r="I477" t="s">
        <v>2319</v>
      </c>
      <c r="J477" t="s">
        <v>17</v>
      </c>
      <c r="K477" t="s">
        <v>3239</v>
      </c>
      <c r="L477" t="s">
        <v>3245</v>
      </c>
      <c r="M477" t="s">
        <v>3246</v>
      </c>
      <c r="N477" t="s">
        <v>393</v>
      </c>
    </row>
    <row r="478" spans="1:14" ht="11.25" customHeight="1">
      <c r="A478" t="s">
        <v>2191</v>
      </c>
      <c r="B478" t="s">
        <v>14</v>
      </c>
      <c r="C478" t="s">
        <v>3287</v>
      </c>
      <c r="D478" t="s">
        <v>3288</v>
      </c>
      <c r="E478" t="s">
        <v>3289</v>
      </c>
      <c r="F478" t="s">
        <v>2447</v>
      </c>
      <c r="G478" t="s">
        <v>3290</v>
      </c>
      <c r="H478" t="s">
        <v>17</v>
      </c>
      <c r="I478" t="s">
        <v>2319</v>
      </c>
      <c r="J478" t="s">
        <v>17</v>
      </c>
      <c r="K478" t="s">
        <v>3247</v>
      </c>
      <c r="L478" t="s">
        <v>3245</v>
      </c>
      <c r="M478" t="s">
        <v>3246</v>
      </c>
      <c r="N478" t="s">
        <v>393</v>
      </c>
    </row>
    <row r="479" spans="1:14" ht="11.25" customHeight="1">
      <c r="A479" t="s">
        <v>2191</v>
      </c>
      <c r="B479" t="s">
        <v>14</v>
      </c>
      <c r="C479" t="s">
        <v>2407</v>
      </c>
      <c r="D479" t="s">
        <v>2408</v>
      </c>
      <c r="E479" t="s">
        <v>2409</v>
      </c>
      <c r="F479" t="s">
        <v>2410</v>
      </c>
      <c r="G479" t="s">
        <v>17</v>
      </c>
      <c r="H479" t="s">
        <v>17</v>
      </c>
      <c r="I479" t="s">
        <v>2319</v>
      </c>
      <c r="J479" t="s">
        <v>17</v>
      </c>
      <c r="K479" t="s">
        <v>3239</v>
      </c>
      <c r="L479" t="s">
        <v>3245</v>
      </c>
      <c r="M479" t="s">
        <v>3246</v>
      </c>
      <c r="N479" t="s">
        <v>393</v>
      </c>
    </row>
    <row r="480" spans="1:14" ht="11.25" customHeight="1">
      <c r="A480" t="s">
        <v>2191</v>
      </c>
      <c r="B480" t="s">
        <v>14</v>
      </c>
      <c r="C480" t="s">
        <v>2407</v>
      </c>
      <c r="D480" t="s">
        <v>2408</v>
      </c>
      <c r="E480" t="s">
        <v>2409</v>
      </c>
      <c r="F480" t="s">
        <v>2410</v>
      </c>
      <c r="G480" t="s">
        <v>17</v>
      </c>
      <c r="H480" t="s">
        <v>17</v>
      </c>
      <c r="I480" t="s">
        <v>2319</v>
      </c>
      <c r="J480" t="s">
        <v>17</v>
      </c>
      <c r="K480" t="s">
        <v>3247</v>
      </c>
      <c r="L480" t="s">
        <v>3245</v>
      </c>
      <c r="M480" t="s">
        <v>3246</v>
      </c>
      <c r="N480" t="s">
        <v>393</v>
      </c>
    </row>
    <row r="481" spans="1:14" ht="11.25" customHeight="1">
      <c r="A481" t="s">
        <v>2191</v>
      </c>
      <c r="B481" t="s">
        <v>14</v>
      </c>
      <c r="C481" t="s">
        <v>3291</v>
      </c>
      <c r="D481" t="s">
        <v>3292</v>
      </c>
      <c r="E481" t="s">
        <v>3293</v>
      </c>
      <c r="F481" t="s">
        <v>2607</v>
      </c>
      <c r="G481" t="s">
        <v>17</v>
      </c>
      <c r="H481" t="s">
        <v>17</v>
      </c>
      <c r="I481" t="s">
        <v>2319</v>
      </c>
      <c r="J481" t="s">
        <v>17</v>
      </c>
      <c r="K481" t="s">
        <v>3239</v>
      </c>
      <c r="L481" t="s">
        <v>3240</v>
      </c>
      <c r="M481" t="s">
        <v>3241</v>
      </c>
      <c r="N481" t="s">
        <v>393</v>
      </c>
    </row>
    <row r="482" spans="1:14" ht="11.25" customHeight="1">
      <c r="A482" t="s">
        <v>2191</v>
      </c>
      <c r="B482" t="s">
        <v>14</v>
      </c>
      <c r="C482" t="s">
        <v>2419</v>
      </c>
      <c r="D482" t="s">
        <v>2420</v>
      </c>
      <c r="E482" t="s">
        <v>2421</v>
      </c>
      <c r="F482" t="s">
        <v>2422</v>
      </c>
      <c r="G482" t="s">
        <v>17</v>
      </c>
      <c r="H482" t="s">
        <v>17</v>
      </c>
      <c r="I482" t="s">
        <v>2235</v>
      </c>
      <c r="J482" t="s">
        <v>17</v>
      </c>
      <c r="K482" t="s">
        <v>3239</v>
      </c>
      <c r="L482" t="s">
        <v>3245</v>
      </c>
      <c r="M482" t="s">
        <v>3246</v>
      </c>
      <c r="N482" t="s">
        <v>393</v>
      </c>
    </row>
    <row r="483" spans="1:14" ht="11.25" customHeight="1">
      <c r="A483" t="s">
        <v>2191</v>
      </c>
      <c r="B483" t="s">
        <v>14</v>
      </c>
      <c r="C483" t="s">
        <v>2419</v>
      </c>
      <c r="D483" t="s">
        <v>2420</v>
      </c>
      <c r="E483" t="s">
        <v>2421</v>
      </c>
      <c r="F483" t="s">
        <v>2422</v>
      </c>
      <c r="G483" t="s">
        <v>17</v>
      </c>
      <c r="H483" t="s">
        <v>17</v>
      </c>
      <c r="I483" t="s">
        <v>2235</v>
      </c>
      <c r="J483" t="s">
        <v>17</v>
      </c>
      <c r="K483" t="s">
        <v>3247</v>
      </c>
      <c r="L483" t="s">
        <v>3245</v>
      </c>
      <c r="M483" t="s">
        <v>3246</v>
      </c>
      <c r="N483" t="s">
        <v>393</v>
      </c>
    </row>
    <row r="484" spans="1:14" ht="11.25" customHeight="1">
      <c r="A484" t="s">
        <v>2191</v>
      </c>
      <c r="B484" t="s">
        <v>14</v>
      </c>
      <c r="C484" t="s">
        <v>2438</v>
      </c>
      <c r="D484" t="s">
        <v>2439</v>
      </c>
      <c r="E484" t="s">
        <v>2440</v>
      </c>
      <c r="F484" t="s">
        <v>2441</v>
      </c>
      <c r="G484" t="s">
        <v>17</v>
      </c>
      <c r="H484" t="s">
        <v>17</v>
      </c>
      <c r="I484" t="s">
        <v>3294</v>
      </c>
      <c r="J484" t="s">
        <v>17</v>
      </c>
      <c r="K484" t="s">
        <v>3239</v>
      </c>
      <c r="L484" t="s">
        <v>3245</v>
      </c>
      <c r="M484" t="s">
        <v>3246</v>
      </c>
      <c r="N484" t="s">
        <v>393</v>
      </c>
    </row>
    <row r="485" spans="1:14" ht="11.25" customHeight="1">
      <c r="A485" t="s">
        <v>2191</v>
      </c>
      <c r="B485" t="s">
        <v>14</v>
      </c>
      <c r="C485" t="s">
        <v>2438</v>
      </c>
      <c r="D485" t="s">
        <v>2439</v>
      </c>
      <c r="E485" t="s">
        <v>2440</v>
      </c>
      <c r="F485" t="s">
        <v>2441</v>
      </c>
      <c r="G485" t="s">
        <v>17</v>
      </c>
      <c r="H485" t="s">
        <v>17</v>
      </c>
      <c r="I485" t="s">
        <v>3294</v>
      </c>
      <c r="J485" t="s">
        <v>17</v>
      </c>
      <c r="K485" t="s">
        <v>3247</v>
      </c>
      <c r="L485" t="s">
        <v>3245</v>
      </c>
      <c r="M485" t="s">
        <v>3246</v>
      </c>
      <c r="N485" t="s">
        <v>393</v>
      </c>
    </row>
    <row r="486" spans="1:14" ht="11.25" customHeight="1">
      <c r="A486" t="s">
        <v>2191</v>
      </c>
      <c r="B486" t="s">
        <v>14</v>
      </c>
      <c r="C486" t="s">
        <v>2438</v>
      </c>
      <c r="D486" t="s">
        <v>2439</v>
      </c>
      <c r="E486" t="s">
        <v>2440</v>
      </c>
      <c r="F486" t="s">
        <v>2441</v>
      </c>
      <c r="G486" t="s">
        <v>17</v>
      </c>
      <c r="H486" t="s">
        <v>17</v>
      </c>
      <c r="I486" t="s">
        <v>2443</v>
      </c>
      <c r="J486" t="s">
        <v>17</v>
      </c>
      <c r="K486" t="s">
        <v>3239</v>
      </c>
      <c r="L486" t="s">
        <v>3240</v>
      </c>
      <c r="M486" t="s">
        <v>3241</v>
      </c>
      <c r="N486" t="s">
        <v>393</v>
      </c>
    </row>
    <row r="487" spans="1:14" ht="11.25" customHeight="1">
      <c r="A487" t="s">
        <v>2191</v>
      </c>
      <c r="B487" t="s">
        <v>14</v>
      </c>
      <c r="C487" t="s">
        <v>2438</v>
      </c>
      <c r="D487" t="s">
        <v>2439</v>
      </c>
      <c r="E487" t="s">
        <v>2440</v>
      </c>
      <c r="F487" t="s">
        <v>2441</v>
      </c>
      <c r="G487" t="s">
        <v>17</v>
      </c>
      <c r="H487" t="s">
        <v>17</v>
      </c>
      <c r="I487" t="s">
        <v>2319</v>
      </c>
      <c r="J487" t="s">
        <v>17</v>
      </c>
      <c r="K487" t="s">
        <v>3239</v>
      </c>
      <c r="L487" t="s">
        <v>3245</v>
      </c>
      <c r="M487" t="s">
        <v>3246</v>
      </c>
      <c r="N487" t="s">
        <v>393</v>
      </c>
    </row>
    <row r="488" spans="1:14" ht="11.25" customHeight="1">
      <c r="A488" t="s">
        <v>2191</v>
      </c>
      <c r="B488" t="s">
        <v>14</v>
      </c>
      <c r="C488" t="s">
        <v>2438</v>
      </c>
      <c r="D488" t="s">
        <v>2439</v>
      </c>
      <c r="E488" t="s">
        <v>2440</v>
      </c>
      <c r="F488" t="s">
        <v>2441</v>
      </c>
      <c r="G488" t="s">
        <v>17</v>
      </c>
      <c r="H488" t="s">
        <v>17</v>
      </c>
      <c r="I488" t="s">
        <v>2319</v>
      </c>
      <c r="J488" t="s">
        <v>17</v>
      </c>
      <c r="K488" t="s">
        <v>3247</v>
      </c>
      <c r="L488" t="s">
        <v>3245</v>
      </c>
      <c r="M488" t="s">
        <v>3246</v>
      </c>
      <c r="N488" t="s">
        <v>393</v>
      </c>
    </row>
    <row r="489" spans="1:14" ht="11.25" customHeight="1">
      <c r="A489" t="s">
        <v>2191</v>
      </c>
      <c r="B489" t="s">
        <v>14</v>
      </c>
      <c r="C489" t="s">
        <v>2438</v>
      </c>
      <c r="D489" t="s">
        <v>2439</v>
      </c>
      <c r="E489" t="s">
        <v>2440</v>
      </c>
      <c r="F489" t="s">
        <v>2441</v>
      </c>
      <c r="G489" t="s">
        <v>17</v>
      </c>
      <c r="H489" t="s">
        <v>17</v>
      </c>
      <c r="I489" t="s">
        <v>2319</v>
      </c>
      <c r="J489" t="s">
        <v>17</v>
      </c>
      <c r="K489" t="s">
        <v>3239</v>
      </c>
      <c r="L489" t="s">
        <v>3251</v>
      </c>
      <c r="M489" t="s">
        <v>3252</v>
      </c>
      <c r="N489" t="s">
        <v>393</v>
      </c>
    </row>
    <row r="490" spans="1:14" ht="11.25" customHeight="1">
      <c r="A490" t="s">
        <v>2191</v>
      </c>
      <c r="B490" t="s">
        <v>14</v>
      </c>
      <c r="C490" t="s">
        <v>2438</v>
      </c>
      <c r="D490" t="s">
        <v>2439</v>
      </c>
      <c r="E490" t="s">
        <v>2440</v>
      </c>
      <c r="F490" t="s">
        <v>2441</v>
      </c>
      <c r="G490" t="s">
        <v>17</v>
      </c>
      <c r="H490" t="s">
        <v>17</v>
      </c>
      <c r="I490" t="s">
        <v>2319</v>
      </c>
      <c r="J490" t="s">
        <v>17</v>
      </c>
      <c r="K490" t="s">
        <v>3247</v>
      </c>
      <c r="L490" t="s">
        <v>3251</v>
      </c>
      <c r="M490" t="s">
        <v>3252</v>
      </c>
      <c r="N490" t="s">
        <v>393</v>
      </c>
    </row>
    <row r="491" spans="1:14" ht="11.25" customHeight="1">
      <c r="A491" t="s">
        <v>2191</v>
      </c>
      <c r="B491" t="s">
        <v>14</v>
      </c>
      <c r="C491" t="s">
        <v>2448</v>
      </c>
      <c r="D491" t="s">
        <v>2449</v>
      </c>
      <c r="E491" t="s">
        <v>2450</v>
      </c>
      <c r="F491" t="s">
        <v>2451</v>
      </c>
      <c r="G491" t="s">
        <v>17</v>
      </c>
      <c r="H491" t="s">
        <v>17</v>
      </c>
      <c r="I491" t="s">
        <v>2319</v>
      </c>
      <c r="J491" t="s">
        <v>17</v>
      </c>
      <c r="K491" t="s">
        <v>3239</v>
      </c>
      <c r="L491" t="s">
        <v>3245</v>
      </c>
      <c r="M491" t="s">
        <v>3246</v>
      </c>
      <c r="N491" t="s">
        <v>393</v>
      </c>
    </row>
    <row r="492" spans="1:14" ht="11.25" customHeight="1">
      <c r="A492" t="s">
        <v>2191</v>
      </c>
      <c r="B492" t="s">
        <v>14</v>
      </c>
      <c r="C492" t="s">
        <v>2448</v>
      </c>
      <c r="D492" t="s">
        <v>2449</v>
      </c>
      <c r="E492" t="s">
        <v>2450</v>
      </c>
      <c r="F492" t="s">
        <v>2451</v>
      </c>
      <c r="G492" t="s">
        <v>17</v>
      </c>
      <c r="H492" t="s">
        <v>17</v>
      </c>
      <c r="I492" t="s">
        <v>2319</v>
      </c>
      <c r="J492" t="s">
        <v>17</v>
      </c>
      <c r="K492" t="s">
        <v>3247</v>
      </c>
      <c r="L492" t="s">
        <v>3245</v>
      </c>
      <c r="M492" t="s">
        <v>3246</v>
      </c>
      <c r="N492" t="s">
        <v>393</v>
      </c>
    </row>
    <row r="493" spans="1:14" ht="11.25" customHeight="1">
      <c r="A493" t="s">
        <v>2191</v>
      </c>
      <c r="B493" t="s">
        <v>14</v>
      </c>
      <c r="C493" t="s">
        <v>3295</v>
      </c>
      <c r="D493" t="s">
        <v>3296</v>
      </c>
      <c r="E493" t="s">
        <v>3297</v>
      </c>
      <c r="F493" t="s">
        <v>2447</v>
      </c>
      <c r="G493" t="s">
        <v>17</v>
      </c>
      <c r="H493" t="s">
        <v>17</v>
      </c>
      <c r="I493" t="s">
        <v>2319</v>
      </c>
      <c r="J493" t="s">
        <v>17</v>
      </c>
      <c r="K493" t="s">
        <v>3239</v>
      </c>
      <c r="L493" t="s">
        <v>3245</v>
      </c>
      <c r="M493" t="s">
        <v>3246</v>
      </c>
      <c r="N493" t="s">
        <v>393</v>
      </c>
    </row>
    <row r="494" spans="1:14" ht="11.25" customHeight="1">
      <c r="A494" t="s">
        <v>2191</v>
      </c>
      <c r="B494" t="s">
        <v>14</v>
      </c>
      <c r="C494" t="s">
        <v>3295</v>
      </c>
      <c r="D494" t="s">
        <v>3296</v>
      </c>
      <c r="E494" t="s">
        <v>3297</v>
      </c>
      <c r="F494" t="s">
        <v>2447</v>
      </c>
      <c r="G494" t="s">
        <v>17</v>
      </c>
      <c r="H494" t="s">
        <v>17</v>
      </c>
      <c r="I494" t="s">
        <v>2319</v>
      </c>
      <c r="J494" t="s">
        <v>17</v>
      </c>
      <c r="K494" t="s">
        <v>3247</v>
      </c>
      <c r="L494" t="s">
        <v>3245</v>
      </c>
      <c r="M494" t="s">
        <v>3246</v>
      </c>
      <c r="N494" t="s">
        <v>393</v>
      </c>
    </row>
    <row r="495" spans="1:14" ht="11.25" customHeight="1">
      <c r="A495" t="s">
        <v>2191</v>
      </c>
      <c r="B495" t="s">
        <v>14</v>
      </c>
      <c r="C495" t="s">
        <v>3298</v>
      </c>
      <c r="D495" t="s">
        <v>3299</v>
      </c>
      <c r="E495" t="s">
        <v>3300</v>
      </c>
      <c r="F495" t="s">
        <v>2217</v>
      </c>
      <c r="G495" t="s">
        <v>17</v>
      </c>
      <c r="H495" t="s">
        <v>17</v>
      </c>
      <c r="I495" t="s">
        <v>3301</v>
      </c>
      <c r="J495" t="s">
        <v>3302</v>
      </c>
      <c r="K495" t="s">
        <v>3239</v>
      </c>
      <c r="L495" t="s">
        <v>3260</v>
      </c>
      <c r="M495" t="s">
        <v>3303</v>
      </c>
      <c r="N495" t="s">
        <v>393</v>
      </c>
    </row>
    <row r="496" spans="1:14" ht="11.25" customHeight="1">
      <c r="A496" t="s">
        <v>2191</v>
      </c>
      <c r="B496" t="s">
        <v>14</v>
      </c>
      <c r="C496" t="s">
        <v>3298</v>
      </c>
      <c r="D496" t="s">
        <v>3299</v>
      </c>
      <c r="E496" t="s">
        <v>3300</v>
      </c>
      <c r="F496" t="s">
        <v>2217</v>
      </c>
      <c r="G496" t="s">
        <v>17</v>
      </c>
      <c r="H496" t="s">
        <v>17</v>
      </c>
      <c r="I496" t="s">
        <v>3304</v>
      </c>
      <c r="J496" t="s">
        <v>17</v>
      </c>
      <c r="K496" t="s">
        <v>3239</v>
      </c>
      <c r="L496" t="s">
        <v>3260</v>
      </c>
      <c r="M496" t="s">
        <v>3303</v>
      </c>
      <c r="N496" t="s">
        <v>393</v>
      </c>
    </row>
    <row r="497" spans="1:14" ht="11.25" customHeight="1">
      <c r="A497" t="s">
        <v>2191</v>
      </c>
      <c r="B497" t="s">
        <v>14</v>
      </c>
      <c r="C497" t="s">
        <v>2476</v>
      </c>
      <c r="D497" t="s">
        <v>2477</v>
      </c>
      <c r="E497" t="s">
        <v>2478</v>
      </c>
      <c r="F497" t="s">
        <v>1426</v>
      </c>
      <c r="G497" t="s">
        <v>17</v>
      </c>
      <c r="H497" t="s">
        <v>17</v>
      </c>
      <c r="I497" t="s">
        <v>2669</v>
      </c>
      <c r="J497" t="s">
        <v>17</v>
      </c>
      <c r="K497" t="s">
        <v>3247</v>
      </c>
      <c r="L497" t="s">
        <v>3266</v>
      </c>
      <c r="M497" t="s">
        <v>3305</v>
      </c>
      <c r="N497" t="s">
        <v>393</v>
      </c>
    </row>
    <row r="498" spans="1:14" ht="11.25" customHeight="1">
      <c r="A498" t="s">
        <v>2191</v>
      </c>
      <c r="B498" t="s">
        <v>14</v>
      </c>
      <c r="C498" t="s">
        <v>3306</v>
      </c>
      <c r="D498" t="s">
        <v>3307</v>
      </c>
      <c r="E498" t="s">
        <v>3308</v>
      </c>
      <c r="F498" t="s">
        <v>2677</v>
      </c>
      <c r="G498" t="s">
        <v>17</v>
      </c>
      <c r="H498" t="s">
        <v>17</v>
      </c>
      <c r="I498" t="s">
        <v>2442</v>
      </c>
      <c r="J498" t="s">
        <v>17</v>
      </c>
      <c r="K498" t="s">
        <v>3239</v>
      </c>
      <c r="L498" t="s">
        <v>3245</v>
      </c>
      <c r="M498" t="s">
        <v>3246</v>
      </c>
      <c r="N498" t="s">
        <v>393</v>
      </c>
    </row>
    <row r="499" spans="1:14" ht="11.25" customHeight="1">
      <c r="A499" t="s">
        <v>2191</v>
      </c>
      <c r="B499" t="s">
        <v>14</v>
      </c>
      <c r="C499" t="s">
        <v>3306</v>
      </c>
      <c r="D499" t="s">
        <v>3307</v>
      </c>
      <c r="E499" t="s">
        <v>3308</v>
      </c>
      <c r="F499" t="s">
        <v>2677</v>
      </c>
      <c r="G499" t="s">
        <v>17</v>
      </c>
      <c r="H499" t="s">
        <v>17</v>
      </c>
      <c r="I499" t="s">
        <v>2442</v>
      </c>
      <c r="J499" t="s">
        <v>17</v>
      </c>
      <c r="K499" t="s">
        <v>3247</v>
      </c>
      <c r="L499" t="s">
        <v>3245</v>
      </c>
      <c r="M499" t="s">
        <v>3246</v>
      </c>
      <c r="N499" t="s">
        <v>393</v>
      </c>
    </row>
    <row r="500" spans="1:14" ht="11.25" customHeight="1">
      <c r="A500" t="s">
        <v>2191</v>
      </c>
      <c r="B500" t="s">
        <v>14</v>
      </c>
      <c r="C500" t="s">
        <v>3309</v>
      </c>
      <c r="D500" t="s">
        <v>3310</v>
      </c>
      <c r="E500" t="s">
        <v>3311</v>
      </c>
      <c r="F500" t="s">
        <v>2451</v>
      </c>
      <c r="G500" t="s">
        <v>3312</v>
      </c>
      <c r="H500" t="s">
        <v>17</v>
      </c>
      <c r="I500" t="s">
        <v>2319</v>
      </c>
      <c r="J500" t="s">
        <v>2319</v>
      </c>
      <c r="K500" t="s">
        <v>3239</v>
      </c>
      <c r="L500" t="s">
        <v>3245</v>
      </c>
      <c r="M500" t="s">
        <v>3246</v>
      </c>
      <c r="N500" t="s">
        <v>393</v>
      </c>
    </row>
    <row r="501" spans="1:14" ht="11.25" customHeight="1">
      <c r="A501" t="s">
        <v>2191</v>
      </c>
      <c r="B501" t="s">
        <v>14</v>
      </c>
      <c r="C501" t="s">
        <v>3309</v>
      </c>
      <c r="D501" t="s">
        <v>3310</v>
      </c>
      <c r="E501" t="s">
        <v>3311</v>
      </c>
      <c r="F501" t="s">
        <v>2451</v>
      </c>
      <c r="G501" t="s">
        <v>3312</v>
      </c>
      <c r="H501" t="s">
        <v>17</v>
      </c>
      <c r="I501" t="s">
        <v>2319</v>
      </c>
      <c r="J501" t="s">
        <v>2319</v>
      </c>
      <c r="K501" t="s">
        <v>3247</v>
      </c>
      <c r="L501" t="s">
        <v>3245</v>
      </c>
      <c r="M501" t="s">
        <v>3246</v>
      </c>
      <c r="N501" t="s">
        <v>393</v>
      </c>
    </row>
    <row r="502" spans="1:14" ht="11.25" customHeight="1">
      <c r="A502" t="s">
        <v>2191</v>
      </c>
      <c r="B502" t="s">
        <v>14</v>
      </c>
      <c r="C502" t="s">
        <v>3313</v>
      </c>
      <c r="D502" t="s">
        <v>3314</v>
      </c>
      <c r="E502" t="s">
        <v>3315</v>
      </c>
      <c r="F502" t="s">
        <v>2812</v>
      </c>
      <c r="G502" t="s">
        <v>17</v>
      </c>
      <c r="H502" t="s">
        <v>17</v>
      </c>
      <c r="I502" t="s">
        <v>2319</v>
      </c>
      <c r="J502" t="s">
        <v>17</v>
      </c>
      <c r="K502" t="s">
        <v>3239</v>
      </c>
      <c r="L502" t="s">
        <v>3245</v>
      </c>
      <c r="M502" t="s">
        <v>3246</v>
      </c>
      <c r="N502" t="s">
        <v>393</v>
      </c>
    </row>
    <row r="503" spans="1:14" ht="11.25" customHeight="1">
      <c r="A503" t="s">
        <v>2191</v>
      </c>
      <c r="B503" t="s">
        <v>14</v>
      </c>
      <c r="C503" t="s">
        <v>3313</v>
      </c>
      <c r="D503" t="s">
        <v>3314</v>
      </c>
      <c r="E503" t="s">
        <v>3315</v>
      </c>
      <c r="F503" t="s">
        <v>2812</v>
      </c>
      <c r="G503" t="s">
        <v>17</v>
      </c>
      <c r="H503" t="s">
        <v>17</v>
      </c>
      <c r="I503" t="s">
        <v>2319</v>
      </c>
      <c r="J503" t="s">
        <v>17</v>
      </c>
      <c r="K503" t="s">
        <v>3247</v>
      </c>
      <c r="L503" t="s">
        <v>3245</v>
      </c>
      <c r="M503" t="s">
        <v>3246</v>
      </c>
      <c r="N503" t="s">
        <v>393</v>
      </c>
    </row>
    <row r="504" spans="1:14" ht="11.25" customHeight="1">
      <c r="A504" t="s">
        <v>2191</v>
      </c>
      <c r="B504" t="s">
        <v>14</v>
      </c>
      <c r="C504" t="s">
        <v>3316</v>
      </c>
      <c r="D504" t="s">
        <v>3317</v>
      </c>
      <c r="E504" t="s">
        <v>3318</v>
      </c>
      <c r="F504" t="s">
        <v>2812</v>
      </c>
      <c r="G504" t="s">
        <v>17</v>
      </c>
      <c r="H504" t="s">
        <v>17</v>
      </c>
      <c r="I504" t="s">
        <v>2319</v>
      </c>
      <c r="J504" t="s">
        <v>17</v>
      </c>
      <c r="K504" t="s">
        <v>3239</v>
      </c>
      <c r="L504" t="s">
        <v>3245</v>
      </c>
      <c r="M504" t="s">
        <v>3246</v>
      </c>
      <c r="N504" t="s">
        <v>393</v>
      </c>
    </row>
    <row r="505" spans="1:14" ht="11.25" customHeight="1">
      <c r="A505" t="s">
        <v>2191</v>
      </c>
      <c r="B505" t="s">
        <v>14</v>
      </c>
      <c r="C505" t="s">
        <v>3316</v>
      </c>
      <c r="D505" t="s">
        <v>3317</v>
      </c>
      <c r="E505" t="s">
        <v>3318</v>
      </c>
      <c r="F505" t="s">
        <v>2812</v>
      </c>
      <c r="G505" t="s">
        <v>17</v>
      </c>
      <c r="H505" t="s">
        <v>17</v>
      </c>
      <c r="I505" t="s">
        <v>2319</v>
      </c>
      <c r="J505" t="s">
        <v>17</v>
      </c>
      <c r="K505" t="s">
        <v>3247</v>
      </c>
      <c r="L505" t="s">
        <v>3245</v>
      </c>
      <c r="M505" t="s">
        <v>3246</v>
      </c>
      <c r="N505" t="s">
        <v>393</v>
      </c>
    </row>
    <row r="506" spans="1:14" ht="11.25" customHeight="1">
      <c r="A506" t="s">
        <v>2191</v>
      </c>
      <c r="B506" t="s">
        <v>14</v>
      </c>
      <c r="C506" t="s">
        <v>3319</v>
      </c>
      <c r="D506" t="s">
        <v>3320</v>
      </c>
      <c r="E506" t="s">
        <v>3321</v>
      </c>
      <c r="F506" t="s">
        <v>2812</v>
      </c>
      <c r="G506" t="s">
        <v>17</v>
      </c>
      <c r="H506" t="s">
        <v>17</v>
      </c>
      <c r="I506" t="s">
        <v>2319</v>
      </c>
      <c r="J506" t="s">
        <v>17</v>
      </c>
      <c r="K506" t="s">
        <v>3239</v>
      </c>
      <c r="L506" t="s">
        <v>3245</v>
      </c>
      <c r="M506" t="s">
        <v>3246</v>
      </c>
      <c r="N506" t="s">
        <v>393</v>
      </c>
    </row>
    <row r="507" spans="1:14" ht="11.25" customHeight="1">
      <c r="A507" t="s">
        <v>2191</v>
      </c>
      <c r="B507" t="s">
        <v>14</v>
      </c>
      <c r="C507" t="s">
        <v>3319</v>
      </c>
      <c r="D507" t="s">
        <v>3320</v>
      </c>
      <c r="E507" t="s">
        <v>3321</v>
      </c>
      <c r="F507" t="s">
        <v>2812</v>
      </c>
      <c r="G507" t="s">
        <v>17</v>
      </c>
      <c r="H507" t="s">
        <v>17</v>
      </c>
      <c r="I507" t="s">
        <v>2319</v>
      </c>
      <c r="J507" t="s">
        <v>17</v>
      </c>
      <c r="K507" t="s">
        <v>3247</v>
      </c>
      <c r="L507" t="s">
        <v>3245</v>
      </c>
      <c r="M507" t="s">
        <v>3246</v>
      </c>
      <c r="N507" t="s">
        <v>393</v>
      </c>
    </row>
    <row r="508" spans="1:14" ht="11.25" customHeight="1">
      <c r="A508" t="s">
        <v>2191</v>
      </c>
      <c r="B508" t="s">
        <v>14</v>
      </c>
      <c r="C508" t="s">
        <v>3322</v>
      </c>
      <c r="D508" t="s">
        <v>3323</v>
      </c>
      <c r="E508" t="s">
        <v>3324</v>
      </c>
      <c r="F508" t="s">
        <v>2812</v>
      </c>
      <c r="G508" t="s">
        <v>17</v>
      </c>
      <c r="H508" t="s">
        <v>17</v>
      </c>
      <c r="I508" t="s">
        <v>2319</v>
      </c>
      <c r="J508" t="s">
        <v>17</v>
      </c>
      <c r="K508" t="s">
        <v>3239</v>
      </c>
      <c r="L508" t="s">
        <v>3245</v>
      </c>
      <c r="M508" t="s">
        <v>3246</v>
      </c>
      <c r="N508" t="s">
        <v>393</v>
      </c>
    </row>
    <row r="509" spans="1:14" ht="11.25" customHeight="1">
      <c r="A509" t="s">
        <v>2191</v>
      </c>
      <c r="B509" t="s">
        <v>14</v>
      </c>
      <c r="C509" t="s">
        <v>3322</v>
      </c>
      <c r="D509" t="s">
        <v>3323</v>
      </c>
      <c r="E509" t="s">
        <v>3324</v>
      </c>
      <c r="F509" t="s">
        <v>2812</v>
      </c>
      <c r="G509" t="s">
        <v>17</v>
      </c>
      <c r="H509" t="s">
        <v>17</v>
      </c>
      <c r="I509" t="s">
        <v>2319</v>
      </c>
      <c r="J509" t="s">
        <v>17</v>
      </c>
      <c r="K509" t="s">
        <v>3247</v>
      </c>
      <c r="L509" t="s">
        <v>3245</v>
      </c>
      <c r="M509" t="s">
        <v>3246</v>
      </c>
      <c r="N509" t="s">
        <v>393</v>
      </c>
    </row>
    <row r="510" spans="1:14" ht="11.25" customHeight="1">
      <c r="A510" t="s">
        <v>2191</v>
      </c>
      <c r="B510" t="s">
        <v>14</v>
      </c>
      <c r="C510" t="s">
        <v>3325</v>
      </c>
      <c r="D510" t="s">
        <v>3326</v>
      </c>
      <c r="E510" t="s">
        <v>3327</v>
      </c>
      <c r="F510" t="s">
        <v>2812</v>
      </c>
      <c r="G510" t="s">
        <v>17</v>
      </c>
      <c r="H510" t="s">
        <v>17</v>
      </c>
      <c r="I510" t="s">
        <v>2319</v>
      </c>
      <c r="J510" t="s">
        <v>17</v>
      </c>
      <c r="K510" t="s">
        <v>3239</v>
      </c>
      <c r="L510" t="s">
        <v>3245</v>
      </c>
      <c r="M510" t="s">
        <v>3246</v>
      </c>
      <c r="N510" t="s">
        <v>393</v>
      </c>
    </row>
    <row r="511" spans="1:14" ht="11.25" customHeight="1">
      <c r="A511" t="s">
        <v>2191</v>
      </c>
      <c r="B511" t="s">
        <v>14</v>
      </c>
      <c r="C511" t="s">
        <v>3325</v>
      </c>
      <c r="D511" t="s">
        <v>3326</v>
      </c>
      <c r="E511" t="s">
        <v>3327</v>
      </c>
      <c r="F511" t="s">
        <v>2812</v>
      </c>
      <c r="G511" t="s">
        <v>17</v>
      </c>
      <c r="H511" t="s">
        <v>17</v>
      </c>
      <c r="I511" t="s">
        <v>2319</v>
      </c>
      <c r="J511" t="s">
        <v>17</v>
      </c>
      <c r="K511" t="s">
        <v>3247</v>
      </c>
      <c r="L511" t="s">
        <v>3245</v>
      </c>
      <c r="M511" t="s">
        <v>3246</v>
      </c>
      <c r="N511" t="s">
        <v>393</v>
      </c>
    </row>
    <row r="512" spans="1:14" ht="11.25" customHeight="1">
      <c r="A512" t="s">
        <v>2191</v>
      </c>
      <c r="B512" t="s">
        <v>14</v>
      </c>
      <c r="C512" t="s">
        <v>2494</v>
      </c>
      <c r="D512" t="s">
        <v>2495</v>
      </c>
      <c r="E512" t="s">
        <v>2496</v>
      </c>
      <c r="F512" t="s">
        <v>2497</v>
      </c>
      <c r="G512" t="s">
        <v>17</v>
      </c>
      <c r="H512" t="s">
        <v>17</v>
      </c>
      <c r="I512" t="s">
        <v>2235</v>
      </c>
      <c r="J512" t="s">
        <v>17</v>
      </c>
      <c r="K512" t="s">
        <v>3239</v>
      </c>
      <c r="L512" t="s">
        <v>3245</v>
      </c>
      <c r="M512" t="s">
        <v>3246</v>
      </c>
      <c r="N512" t="s">
        <v>393</v>
      </c>
    </row>
    <row r="513" spans="1:14" ht="11.25" customHeight="1">
      <c r="A513" t="s">
        <v>2191</v>
      </c>
      <c r="B513" t="s">
        <v>14</v>
      </c>
      <c r="C513" t="s">
        <v>2494</v>
      </c>
      <c r="D513" t="s">
        <v>2495</v>
      </c>
      <c r="E513" t="s">
        <v>2496</v>
      </c>
      <c r="F513" t="s">
        <v>2497</v>
      </c>
      <c r="G513" t="s">
        <v>17</v>
      </c>
      <c r="H513" t="s">
        <v>17</v>
      </c>
      <c r="I513" t="s">
        <v>2235</v>
      </c>
      <c r="J513" t="s">
        <v>17</v>
      </c>
      <c r="K513" t="s">
        <v>3247</v>
      </c>
      <c r="L513" t="s">
        <v>3245</v>
      </c>
      <c r="M513" t="s">
        <v>3246</v>
      </c>
      <c r="N513" t="s">
        <v>393</v>
      </c>
    </row>
    <row r="514" spans="1:14" ht="11.25" customHeight="1">
      <c r="A514" t="s">
        <v>2191</v>
      </c>
      <c r="B514" t="s">
        <v>14</v>
      </c>
      <c r="C514" t="s">
        <v>3328</v>
      </c>
      <c r="D514" t="s">
        <v>3329</v>
      </c>
      <c r="E514" t="s">
        <v>3330</v>
      </c>
      <c r="F514" t="s">
        <v>2756</v>
      </c>
      <c r="G514" t="s">
        <v>3331</v>
      </c>
      <c r="H514" t="s">
        <v>17</v>
      </c>
      <c r="I514" t="s">
        <v>2319</v>
      </c>
      <c r="J514" t="s">
        <v>17</v>
      </c>
      <c r="K514" t="s">
        <v>3239</v>
      </c>
      <c r="L514" t="s">
        <v>3332</v>
      </c>
      <c r="M514" t="s">
        <v>3333</v>
      </c>
      <c r="N514" t="s">
        <v>393</v>
      </c>
    </row>
    <row r="515" spans="1:14" ht="11.25" customHeight="1">
      <c r="A515" t="s">
        <v>2191</v>
      </c>
      <c r="B515" t="s">
        <v>14</v>
      </c>
      <c r="C515" t="s">
        <v>3334</v>
      </c>
      <c r="D515" t="s">
        <v>3329</v>
      </c>
      <c r="E515" t="s">
        <v>3335</v>
      </c>
      <c r="F515" t="s">
        <v>3336</v>
      </c>
      <c r="G515" t="s">
        <v>17</v>
      </c>
      <c r="H515" t="s">
        <v>17</v>
      </c>
      <c r="I515" t="s">
        <v>2442</v>
      </c>
      <c r="J515" t="s">
        <v>17</v>
      </c>
      <c r="K515" t="s">
        <v>3239</v>
      </c>
      <c r="L515" t="s">
        <v>3245</v>
      </c>
      <c r="M515" t="s">
        <v>3246</v>
      </c>
      <c r="N515" t="s">
        <v>393</v>
      </c>
    </row>
    <row r="516" spans="1:14" ht="11.25" customHeight="1">
      <c r="A516" t="s">
        <v>2191</v>
      </c>
      <c r="B516" t="s">
        <v>14</v>
      </c>
      <c r="C516" t="s">
        <v>3334</v>
      </c>
      <c r="D516" t="s">
        <v>3329</v>
      </c>
      <c r="E516" t="s">
        <v>3335</v>
      </c>
      <c r="F516" t="s">
        <v>3336</v>
      </c>
      <c r="G516" t="s">
        <v>17</v>
      </c>
      <c r="H516" t="s">
        <v>17</v>
      </c>
      <c r="I516" t="s">
        <v>2442</v>
      </c>
      <c r="J516" t="s">
        <v>17</v>
      </c>
      <c r="K516" t="s">
        <v>3247</v>
      </c>
      <c r="L516" t="s">
        <v>3245</v>
      </c>
      <c r="M516" t="s">
        <v>3246</v>
      </c>
      <c r="N516" t="s">
        <v>393</v>
      </c>
    </row>
    <row r="517" spans="1:14" ht="11.25" customHeight="1">
      <c r="A517" t="s">
        <v>2191</v>
      </c>
      <c r="B517" t="s">
        <v>14</v>
      </c>
      <c r="C517" t="s">
        <v>2498</v>
      </c>
      <c r="D517" t="s">
        <v>2499</v>
      </c>
      <c r="E517" t="s">
        <v>2500</v>
      </c>
      <c r="F517" t="s">
        <v>2374</v>
      </c>
      <c r="G517" t="s">
        <v>17</v>
      </c>
      <c r="H517" t="s">
        <v>17</v>
      </c>
      <c r="I517" t="s">
        <v>2196</v>
      </c>
      <c r="J517" t="s">
        <v>17</v>
      </c>
      <c r="K517" t="s">
        <v>3239</v>
      </c>
      <c r="L517" t="s">
        <v>3245</v>
      </c>
      <c r="M517" t="s">
        <v>3246</v>
      </c>
      <c r="N517" t="s">
        <v>393</v>
      </c>
    </row>
    <row r="518" spans="1:14" ht="11.25" customHeight="1">
      <c r="A518" t="s">
        <v>2191</v>
      </c>
      <c r="B518" t="s">
        <v>14</v>
      </c>
      <c r="C518" t="s">
        <v>2498</v>
      </c>
      <c r="D518" t="s">
        <v>2499</v>
      </c>
      <c r="E518" t="s">
        <v>2500</v>
      </c>
      <c r="F518" t="s">
        <v>2374</v>
      </c>
      <c r="G518" t="s">
        <v>17</v>
      </c>
      <c r="H518" t="s">
        <v>17</v>
      </c>
      <c r="I518" t="s">
        <v>2196</v>
      </c>
      <c r="J518" t="s">
        <v>17</v>
      </c>
      <c r="K518" t="s">
        <v>3247</v>
      </c>
      <c r="L518" t="s">
        <v>3245</v>
      </c>
      <c r="M518" t="s">
        <v>3246</v>
      </c>
      <c r="N518" t="s">
        <v>393</v>
      </c>
    </row>
    <row r="519" spans="1:14" ht="11.25" customHeight="1">
      <c r="A519" t="s">
        <v>2191</v>
      </c>
      <c r="B519" t="s">
        <v>14</v>
      </c>
      <c r="C519" t="s">
        <v>3337</v>
      </c>
      <c r="D519" t="s">
        <v>3338</v>
      </c>
      <c r="E519" t="s">
        <v>3339</v>
      </c>
      <c r="F519" t="s">
        <v>2513</v>
      </c>
      <c r="G519" t="s">
        <v>17</v>
      </c>
      <c r="H519" t="s">
        <v>17</v>
      </c>
      <c r="I519" t="s">
        <v>2235</v>
      </c>
      <c r="J519" t="s">
        <v>17</v>
      </c>
      <c r="K519" t="s">
        <v>3239</v>
      </c>
      <c r="L519" t="s">
        <v>3245</v>
      </c>
      <c r="M519" t="s">
        <v>3246</v>
      </c>
      <c r="N519" t="s">
        <v>393</v>
      </c>
    </row>
    <row r="520" spans="1:14" ht="11.25" customHeight="1">
      <c r="A520" t="s">
        <v>2191</v>
      </c>
      <c r="B520" t="s">
        <v>14</v>
      </c>
      <c r="C520" t="s">
        <v>3337</v>
      </c>
      <c r="D520" t="s">
        <v>3338</v>
      </c>
      <c r="E520" t="s">
        <v>3339</v>
      </c>
      <c r="F520" t="s">
        <v>2513</v>
      </c>
      <c r="G520" t="s">
        <v>17</v>
      </c>
      <c r="H520" t="s">
        <v>17</v>
      </c>
      <c r="I520" t="s">
        <v>2235</v>
      </c>
      <c r="J520" t="s">
        <v>17</v>
      </c>
      <c r="K520" t="s">
        <v>3247</v>
      </c>
      <c r="L520" t="s">
        <v>3245</v>
      </c>
      <c r="M520" t="s">
        <v>3246</v>
      </c>
      <c r="N520" t="s">
        <v>393</v>
      </c>
    </row>
    <row r="521" spans="1:14" ht="11.25" customHeight="1">
      <c r="A521" t="s">
        <v>2191</v>
      </c>
      <c r="B521" t="s">
        <v>14</v>
      </c>
      <c r="C521" t="s">
        <v>2502</v>
      </c>
      <c r="D521" t="s">
        <v>2503</v>
      </c>
      <c r="E521" t="s">
        <v>2504</v>
      </c>
      <c r="F521" t="s">
        <v>2296</v>
      </c>
      <c r="G521" t="s">
        <v>17</v>
      </c>
      <c r="H521" t="s">
        <v>17</v>
      </c>
      <c r="I521" t="s">
        <v>3195</v>
      </c>
      <c r="J521" t="s">
        <v>17</v>
      </c>
      <c r="K521" t="s">
        <v>3239</v>
      </c>
      <c r="L521" t="s">
        <v>3245</v>
      </c>
      <c r="M521" t="s">
        <v>3246</v>
      </c>
      <c r="N521" t="s">
        <v>393</v>
      </c>
    </row>
    <row r="522" spans="1:14" ht="11.25" customHeight="1">
      <c r="A522" t="s">
        <v>2191</v>
      </c>
      <c r="B522" t="s">
        <v>14</v>
      </c>
      <c r="C522" t="s">
        <v>2502</v>
      </c>
      <c r="D522" t="s">
        <v>2503</v>
      </c>
      <c r="E522" t="s">
        <v>2504</v>
      </c>
      <c r="F522" t="s">
        <v>2296</v>
      </c>
      <c r="G522" t="s">
        <v>17</v>
      </c>
      <c r="H522" t="s">
        <v>17</v>
      </c>
      <c r="I522" t="s">
        <v>3195</v>
      </c>
      <c r="J522" t="s">
        <v>17</v>
      </c>
      <c r="K522" t="s">
        <v>3247</v>
      </c>
      <c r="L522" t="s">
        <v>3245</v>
      </c>
      <c r="M522" t="s">
        <v>3246</v>
      </c>
      <c r="N522" t="s">
        <v>393</v>
      </c>
    </row>
    <row r="523" spans="1:14" ht="11.25" customHeight="1">
      <c r="A523" t="s">
        <v>2191</v>
      </c>
      <c r="B523" t="s">
        <v>14</v>
      </c>
      <c r="C523" t="s">
        <v>2506</v>
      </c>
      <c r="D523" t="s">
        <v>2507</v>
      </c>
      <c r="E523" t="s">
        <v>2508</v>
      </c>
      <c r="F523" t="s">
        <v>2374</v>
      </c>
      <c r="G523" t="s">
        <v>17</v>
      </c>
      <c r="H523" t="s">
        <v>17</v>
      </c>
      <c r="I523" t="s">
        <v>2669</v>
      </c>
      <c r="J523" t="s">
        <v>17</v>
      </c>
      <c r="K523" t="s">
        <v>3239</v>
      </c>
      <c r="L523" t="s">
        <v>3340</v>
      </c>
      <c r="M523" t="s">
        <v>3341</v>
      </c>
      <c r="N523" t="s">
        <v>393</v>
      </c>
    </row>
    <row r="524" spans="1:14" ht="11.25" customHeight="1">
      <c r="A524" t="s">
        <v>2191</v>
      </c>
      <c r="B524" t="s">
        <v>14</v>
      </c>
      <c r="C524" t="s">
        <v>2514</v>
      </c>
      <c r="D524" t="s">
        <v>2515</v>
      </c>
      <c r="E524" t="s">
        <v>2516</v>
      </c>
      <c r="F524" t="s">
        <v>2257</v>
      </c>
      <c r="G524" t="s">
        <v>17</v>
      </c>
      <c r="H524" t="s">
        <v>17</v>
      </c>
      <c r="I524" t="s">
        <v>2442</v>
      </c>
      <c r="J524" t="s">
        <v>17</v>
      </c>
      <c r="K524" t="s">
        <v>3239</v>
      </c>
      <c r="L524" t="s">
        <v>3245</v>
      </c>
      <c r="M524" t="s">
        <v>3246</v>
      </c>
      <c r="N524" t="s">
        <v>393</v>
      </c>
    </row>
    <row r="525" spans="1:14" ht="11.25" customHeight="1">
      <c r="A525" t="s">
        <v>2191</v>
      </c>
      <c r="B525" t="s">
        <v>14</v>
      </c>
      <c r="C525" t="s">
        <v>2514</v>
      </c>
      <c r="D525" t="s">
        <v>2515</v>
      </c>
      <c r="E525" t="s">
        <v>2516</v>
      </c>
      <c r="F525" t="s">
        <v>2257</v>
      </c>
      <c r="G525" t="s">
        <v>17</v>
      </c>
      <c r="H525" t="s">
        <v>17</v>
      </c>
      <c r="I525" t="s">
        <v>2442</v>
      </c>
      <c r="J525" t="s">
        <v>17</v>
      </c>
      <c r="K525" t="s">
        <v>3247</v>
      </c>
      <c r="L525" t="s">
        <v>3245</v>
      </c>
      <c r="M525" t="s">
        <v>3246</v>
      </c>
      <c r="N525" t="s">
        <v>393</v>
      </c>
    </row>
    <row r="526" spans="1:14" ht="11.25" customHeight="1">
      <c r="A526" t="s">
        <v>2191</v>
      </c>
      <c r="B526" t="s">
        <v>14</v>
      </c>
      <c r="C526" t="s">
        <v>2517</v>
      </c>
      <c r="D526" t="s">
        <v>2518</v>
      </c>
      <c r="E526" t="s">
        <v>2519</v>
      </c>
      <c r="F526" t="s">
        <v>2364</v>
      </c>
      <c r="G526" t="s">
        <v>17</v>
      </c>
      <c r="H526" t="s">
        <v>17</v>
      </c>
      <c r="I526" t="s">
        <v>2442</v>
      </c>
      <c r="J526" t="s">
        <v>17</v>
      </c>
      <c r="K526" t="s">
        <v>3239</v>
      </c>
      <c r="L526" t="s">
        <v>3245</v>
      </c>
      <c r="M526" t="s">
        <v>3246</v>
      </c>
      <c r="N526" t="s">
        <v>393</v>
      </c>
    </row>
    <row r="527" spans="1:14" ht="11.25" customHeight="1">
      <c r="A527" t="s">
        <v>2191</v>
      </c>
      <c r="B527" t="s">
        <v>14</v>
      </c>
      <c r="C527" t="s">
        <v>2517</v>
      </c>
      <c r="D527" t="s">
        <v>2518</v>
      </c>
      <c r="E527" t="s">
        <v>2519</v>
      </c>
      <c r="F527" t="s">
        <v>2364</v>
      </c>
      <c r="G527" t="s">
        <v>17</v>
      </c>
      <c r="H527" t="s">
        <v>17</v>
      </c>
      <c r="I527" t="s">
        <v>2442</v>
      </c>
      <c r="J527" t="s">
        <v>17</v>
      </c>
      <c r="K527" t="s">
        <v>3247</v>
      </c>
      <c r="L527" t="s">
        <v>3245</v>
      </c>
      <c r="M527" t="s">
        <v>3246</v>
      </c>
      <c r="N527" t="s">
        <v>393</v>
      </c>
    </row>
    <row r="528" spans="1:14" ht="11.25" customHeight="1">
      <c r="A528" t="s">
        <v>2191</v>
      </c>
      <c r="B528" t="s">
        <v>14</v>
      </c>
      <c r="C528" t="s">
        <v>2520</v>
      </c>
      <c r="D528" t="s">
        <v>2521</v>
      </c>
      <c r="E528" t="s">
        <v>2522</v>
      </c>
      <c r="F528" t="s">
        <v>2513</v>
      </c>
      <c r="G528" t="s">
        <v>17</v>
      </c>
      <c r="H528" t="s">
        <v>17</v>
      </c>
      <c r="I528" t="s">
        <v>2235</v>
      </c>
      <c r="J528" t="s">
        <v>17</v>
      </c>
      <c r="K528" t="s">
        <v>3239</v>
      </c>
      <c r="L528" t="s">
        <v>3245</v>
      </c>
      <c r="M528" t="s">
        <v>3246</v>
      </c>
      <c r="N528" t="s">
        <v>393</v>
      </c>
    </row>
    <row r="529" spans="1:14" ht="11.25" customHeight="1">
      <c r="A529" t="s">
        <v>2191</v>
      </c>
      <c r="B529" t="s">
        <v>14</v>
      </c>
      <c r="C529" t="s">
        <v>2520</v>
      </c>
      <c r="D529" t="s">
        <v>2521</v>
      </c>
      <c r="E529" t="s">
        <v>2522</v>
      </c>
      <c r="F529" t="s">
        <v>2513</v>
      </c>
      <c r="G529" t="s">
        <v>17</v>
      </c>
      <c r="H529" t="s">
        <v>17</v>
      </c>
      <c r="I529" t="s">
        <v>2235</v>
      </c>
      <c r="J529" t="s">
        <v>17</v>
      </c>
      <c r="K529" t="s">
        <v>3247</v>
      </c>
      <c r="L529" t="s">
        <v>3245</v>
      </c>
      <c r="M529" t="s">
        <v>3246</v>
      </c>
      <c r="N529" t="s">
        <v>393</v>
      </c>
    </row>
    <row r="530" spans="1:14" ht="11.25" customHeight="1">
      <c r="A530" t="s">
        <v>2191</v>
      </c>
      <c r="B530" t="s">
        <v>14</v>
      </c>
      <c r="C530" t="s">
        <v>2527</v>
      </c>
      <c r="D530" t="s">
        <v>2528</v>
      </c>
      <c r="E530" t="s">
        <v>2529</v>
      </c>
      <c r="F530" t="s">
        <v>2530</v>
      </c>
      <c r="G530" t="s">
        <v>2531</v>
      </c>
      <c r="H530" t="s">
        <v>17</v>
      </c>
      <c r="I530" t="s">
        <v>2509</v>
      </c>
      <c r="J530" t="s">
        <v>17</v>
      </c>
      <c r="K530" t="s">
        <v>3239</v>
      </c>
      <c r="L530" t="s">
        <v>3245</v>
      </c>
      <c r="M530" t="s">
        <v>3246</v>
      </c>
      <c r="N530" t="s">
        <v>393</v>
      </c>
    </row>
    <row r="531" spans="1:14" ht="11.25" customHeight="1">
      <c r="A531" t="s">
        <v>2191</v>
      </c>
      <c r="B531" t="s">
        <v>14</v>
      </c>
      <c r="C531" t="s">
        <v>2527</v>
      </c>
      <c r="D531" t="s">
        <v>2528</v>
      </c>
      <c r="E531" t="s">
        <v>2529</v>
      </c>
      <c r="F531" t="s">
        <v>2530</v>
      </c>
      <c r="G531" t="s">
        <v>2531</v>
      </c>
      <c r="H531" t="s">
        <v>17</v>
      </c>
      <c r="I531" t="s">
        <v>2509</v>
      </c>
      <c r="J531" t="s">
        <v>17</v>
      </c>
      <c r="K531" t="s">
        <v>3247</v>
      </c>
      <c r="L531" t="s">
        <v>3245</v>
      </c>
      <c r="M531" t="s">
        <v>3246</v>
      </c>
      <c r="N531" t="s">
        <v>393</v>
      </c>
    </row>
    <row r="532" spans="1:14" ht="11.25" customHeight="1">
      <c r="A532" t="s">
        <v>2191</v>
      </c>
      <c r="B532" t="s">
        <v>14</v>
      </c>
      <c r="C532" t="s">
        <v>3342</v>
      </c>
      <c r="D532" t="s">
        <v>3343</v>
      </c>
      <c r="E532" t="s">
        <v>3344</v>
      </c>
      <c r="F532" t="s">
        <v>3345</v>
      </c>
      <c r="G532" t="s">
        <v>3346</v>
      </c>
      <c r="H532" t="s">
        <v>17</v>
      </c>
      <c r="I532" t="s">
        <v>2319</v>
      </c>
      <c r="J532" t="s">
        <v>17</v>
      </c>
      <c r="K532" t="s">
        <v>3247</v>
      </c>
      <c r="L532" t="s">
        <v>3266</v>
      </c>
      <c r="M532" t="s">
        <v>3305</v>
      </c>
      <c r="N532" t="s">
        <v>393</v>
      </c>
    </row>
    <row r="533" spans="1:14" ht="11.25" customHeight="1">
      <c r="A533" t="s">
        <v>2191</v>
      </c>
      <c r="B533" t="s">
        <v>14</v>
      </c>
      <c r="C533" t="s">
        <v>3347</v>
      </c>
      <c r="D533" t="s">
        <v>3348</v>
      </c>
      <c r="E533" t="s">
        <v>3349</v>
      </c>
      <c r="F533" t="s">
        <v>2447</v>
      </c>
      <c r="G533" t="s">
        <v>17</v>
      </c>
      <c r="H533" t="s">
        <v>17</v>
      </c>
      <c r="I533" t="s">
        <v>2319</v>
      </c>
      <c r="J533" t="s">
        <v>17</v>
      </c>
      <c r="K533" t="s">
        <v>3247</v>
      </c>
      <c r="L533" t="s">
        <v>3332</v>
      </c>
      <c r="M533" t="s">
        <v>3350</v>
      </c>
      <c r="N533" t="s">
        <v>393</v>
      </c>
    </row>
    <row r="534" spans="1:14" ht="11.25" customHeight="1">
      <c r="A534" t="s">
        <v>2191</v>
      </c>
      <c r="B534" t="s">
        <v>14</v>
      </c>
      <c r="C534" t="s">
        <v>3351</v>
      </c>
      <c r="D534" t="s">
        <v>3352</v>
      </c>
      <c r="E534" t="s">
        <v>3353</v>
      </c>
      <c r="F534" t="s">
        <v>2607</v>
      </c>
      <c r="G534" t="s">
        <v>17</v>
      </c>
      <c r="H534" t="s">
        <v>17</v>
      </c>
      <c r="I534" t="s">
        <v>2319</v>
      </c>
      <c r="J534" t="s">
        <v>17</v>
      </c>
      <c r="K534" t="s">
        <v>3239</v>
      </c>
      <c r="L534" t="s">
        <v>3245</v>
      </c>
      <c r="M534" t="s">
        <v>3246</v>
      </c>
      <c r="N534" t="s">
        <v>393</v>
      </c>
    </row>
    <row r="535" spans="1:14" ht="11.25" customHeight="1">
      <c r="A535" t="s">
        <v>2191</v>
      </c>
      <c r="B535" t="s">
        <v>14</v>
      </c>
      <c r="C535" t="s">
        <v>3351</v>
      </c>
      <c r="D535" t="s">
        <v>3352</v>
      </c>
      <c r="E535" t="s">
        <v>3353</v>
      </c>
      <c r="F535" t="s">
        <v>2607</v>
      </c>
      <c r="G535" t="s">
        <v>17</v>
      </c>
      <c r="H535" t="s">
        <v>17</v>
      </c>
      <c r="I535" t="s">
        <v>2319</v>
      </c>
      <c r="J535" t="s">
        <v>17</v>
      </c>
      <c r="K535" t="s">
        <v>3247</v>
      </c>
      <c r="L535" t="s">
        <v>3245</v>
      </c>
      <c r="M535" t="s">
        <v>3246</v>
      </c>
      <c r="N535" t="s">
        <v>393</v>
      </c>
    </row>
    <row r="536" spans="1:14" ht="11.25" customHeight="1">
      <c r="A536" t="s">
        <v>2191</v>
      </c>
      <c r="B536" t="s">
        <v>14</v>
      </c>
      <c r="C536" t="s">
        <v>3354</v>
      </c>
      <c r="D536" t="s">
        <v>3355</v>
      </c>
      <c r="E536" t="s">
        <v>3356</v>
      </c>
      <c r="F536" t="s">
        <v>2756</v>
      </c>
      <c r="G536" t="s">
        <v>17</v>
      </c>
      <c r="H536" t="s">
        <v>17</v>
      </c>
      <c r="I536" t="s">
        <v>3265</v>
      </c>
      <c r="J536" t="s">
        <v>17</v>
      </c>
      <c r="K536" t="s">
        <v>3239</v>
      </c>
      <c r="L536" t="s">
        <v>3245</v>
      </c>
      <c r="M536" t="s">
        <v>3246</v>
      </c>
      <c r="N536" t="s">
        <v>393</v>
      </c>
    </row>
    <row r="537" spans="1:14" ht="11.25" customHeight="1">
      <c r="A537" t="s">
        <v>2191</v>
      </c>
      <c r="B537" t="s">
        <v>14</v>
      </c>
      <c r="C537" t="s">
        <v>3354</v>
      </c>
      <c r="D537" t="s">
        <v>3355</v>
      </c>
      <c r="E537" t="s">
        <v>3356</v>
      </c>
      <c r="F537" t="s">
        <v>2756</v>
      </c>
      <c r="G537" t="s">
        <v>17</v>
      </c>
      <c r="H537" t="s">
        <v>17</v>
      </c>
      <c r="I537" t="s">
        <v>3265</v>
      </c>
      <c r="J537" t="s">
        <v>17</v>
      </c>
      <c r="K537" t="s">
        <v>3247</v>
      </c>
      <c r="L537" t="s">
        <v>3245</v>
      </c>
      <c r="M537" t="s">
        <v>3246</v>
      </c>
      <c r="N537" t="s">
        <v>393</v>
      </c>
    </row>
    <row r="538" spans="1:14" ht="11.25" customHeight="1">
      <c r="A538" t="s">
        <v>2191</v>
      </c>
      <c r="B538" t="s">
        <v>14</v>
      </c>
      <c r="C538" t="s">
        <v>2540</v>
      </c>
      <c r="D538" t="s">
        <v>2541</v>
      </c>
      <c r="E538" t="s">
        <v>2542</v>
      </c>
      <c r="F538" t="s">
        <v>2234</v>
      </c>
      <c r="G538" t="s">
        <v>17</v>
      </c>
      <c r="H538" t="s">
        <v>17</v>
      </c>
      <c r="I538" t="s">
        <v>2235</v>
      </c>
      <c r="J538" t="s">
        <v>17</v>
      </c>
      <c r="K538" t="s">
        <v>3239</v>
      </c>
      <c r="L538" t="s">
        <v>3245</v>
      </c>
      <c r="M538" t="s">
        <v>3246</v>
      </c>
      <c r="N538" t="s">
        <v>393</v>
      </c>
    </row>
    <row r="539" spans="1:14" ht="11.25" customHeight="1">
      <c r="A539" t="s">
        <v>2191</v>
      </c>
      <c r="B539" t="s">
        <v>14</v>
      </c>
      <c r="C539" t="s">
        <v>2540</v>
      </c>
      <c r="D539" t="s">
        <v>2541</v>
      </c>
      <c r="E539" t="s">
        <v>2542</v>
      </c>
      <c r="F539" t="s">
        <v>2234</v>
      </c>
      <c r="G539" t="s">
        <v>17</v>
      </c>
      <c r="H539" t="s">
        <v>17</v>
      </c>
      <c r="I539" t="s">
        <v>2235</v>
      </c>
      <c r="J539" t="s">
        <v>17</v>
      </c>
      <c r="K539" t="s">
        <v>3247</v>
      </c>
      <c r="L539" t="s">
        <v>3245</v>
      </c>
      <c r="M539" t="s">
        <v>3246</v>
      </c>
      <c r="N539" t="s">
        <v>393</v>
      </c>
    </row>
    <row r="540" spans="1:14" ht="11.25" customHeight="1">
      <c r="A540" t="s">
        <v>2191</v>
      </c>
      <c r="B540" t="s">
        <v>14</v>
      </c>
      <c r="C540" t="s">
        <v>2543</v>
      </c>
      <c r="D540" t="s">
        <v>2544</v>
      </c>
      <c r="E540" t="s">
        <v>2545</v>
      </c>
      <c r="F540" t="s">
        <v>2546</v>
      </c>
      <c r="G540" t="s">
        <v>17</v>
      </c>
      <c r="H540" t="s">
        <v>17</v>
      </c>
      <c r="I540" t="s">
        <v>2319</v>
      </c>
      <c r="J540" t="s">
        <v>17</v>
      </c>
      <c r="K540" t="s">
        <v>3239</v>
      </c>
      <c r="L540" t="s">
        <v>3245</v>
      </c>
      <c r="M540" t="s">
        <v>3246</v>
      </c>
      <c r="N540" t="s">
        <v>393</v>
      </c>
    </row>
    <row r="541" spans="1:14" ht="11.25" customHeight="1">
      <c r="A541" t="s">
        <v>2191</v>
      </c>
      <c r="B541" t="s">
        <v>14</v>
      </c>
      <c r="C541" t="s">
        <v>2543</v>
      </c>
      <c r="D541" t="s">
        <v>2544</v>
      </c>
      <c r="E541" t="s">
        <v>2545</v>
      </c>
      <c r="F541" t="s">
        <v>2546</v>
      </c>
      <c r="G541" t="s">
        <v>17</v>
      </c>
      <c r="H541" t="s">
        <v>17</v>
      </c>
      <c r="I541" t="s">
        <v>2319</v>
      </c>
      <c r="J541" t="s">
        <v>17</v>
      </c>
      <c r="K541" t="s">
        <v>3247</v>
      </c>
      <c r="L541" t="s">
        <v>3245</v>
      </c>
      <c r="M541" t="s">
        <v>3246</v>
      </c>
      <c r="N541" t="s">
        <v>393</v>
      </c>
    </row>
    <row r="542" spans="1:14" ht="11.25" customHeight="1">
      <c r="A542" t="s">
        <v>2191</v>
      </c>
      <c r="B542" t="s">
        <v>14</v>
      </c>
      <c r="C542" t="s">
        <v>2547</v>
      </c>
      <c r="D542" t="s">
        <v>2548</v>
      </c>
      <c r="E542" t="s">
        <v>2549</v>
      </c>
      <c r="F542" t="s">
        <v>2550</v>
      </c>
      <c r="G542" t="s">
        <v>17</v>
      </c>
      <c r="H542" t="s">
        <v>17</v>
      </c>
      <c r="I542" t="s">
        <v>2235</v>
      </c>
      <c r="J542" t="s">
        <v>17</v>
      </c>
      <c r="K542" t="s">
        <v>3239</v>
      </c>
      <c r="L542" t="s">
        <v>3245</v>
      </c>
      <c r="M542" t="s">
        <v>3246</v>
      </c>
      <c r="N542" t="s">
        <v>393</v>
      </c>
    </row>
    <row r="543" spans="1:14" ht="11.25" customHeight="1">
      <c r="A543" t="s">
        <v>2191</v>
      </c>
      <c r="B543" t="s">
        <v>14</v>
      </c>
      <c r="C543" t="s">
        <v>2547</v>
      </c>
      <c r="D543" t="s">
        <v>2548</v>
      </c>
      <c r="E543" t="s">
        <v>2549</v>
      </c>
      <c r="F543" t="s">
        <v>2550</v>
      </c>
      <c r="G543" t="s">
        <v>17</v>
      </c>
      <c r="H543" t="s">
        <v>17</v>
      </c>
      <c r="I543" t="s">
        <v>2235</v>
      </c>
      <c r="J543" t="s">
        <v>17</v>
      </c>
      <c r="K543" t="s">
        <v>3247</v>
      </c>
      <c r="L543" t="s">
        <v>3245</v>
      </c>
      <c r="M543" t="s">
        <v>3246</v>
      </c>
      <c r="N543" t="s">
        <v>393</v>
      </c>
    </row>
    <row r="544" spans="1:14" ht="11.25" customHeight="1">
      <c r="A544" t="s">
        <v>2191</v>
      </c>
      <c r="B544" t="s">
        <v>14</v>
      </c>
      <c r="C544" t="s">
        <v>3357</v>
      </c>
      <c r="D544" t="s">
        <v>3358</v>
      </c>
      <c r="E544" t="s">
        <v>3359</v>
      </c>
      <c r="F544" t="s">
        <v>2244</v>
      </c>
      <c r="G544" t="s">
        <v>17</v>
      </c>
      <c r="H544" t="s">
        <v>17</v>
      </c>
      <c r="I544" t="s">
        <v>2235</v>
      </c>
      <c r="J544" t="s">
        <v>17</v>
      </c>
      <c r="K544" t="s">
        <v>3239</v>
      </c>
      <c r="L544" t="s">
        <v>3240</v>
      </c>
      <c r="M544" t="s">
        <v>3241</v>
      </c>
      <c r="N544" t="s">
        <v>393</v>
      </c>
    </row>
    <row r="545" spans="1:14" ht="11.25" customHeight="1">
      <c r="A545" t="s">
        <v>2191</v>
      </c>
      <c r="B545" t="s">
        <v>14</v>
      </c>
      <c r="C545" t="s">
        <v>3360</v>
      </c>
      <c r="D545" t="s">
        <v>3361</v>
      </c>
      <c r="E545" t="s">
        <v>3362</v>
      </c>
      <c r="F545" t="s">
        <v>2940</v>
      </c>
      <c r="G545" t="s">
        <v>17</v>
      </c>
      <c r="H545" t="s">
        <v>17</v>
      </c>
      <c r="I545" t="s">
        <v>2319</v>
      </c>
      <c r="J545" t="s">
        <v>17</v>
      </c>
      <c r="K545" t="s">
        <v>3239</v>
      </c>
      <c r="L545" t="s">
        <v>3340</v>
      </c>
      <c r="M545" t="s">
        <v>3363</v>
      </c>
      <c r="N545" t="s">
        <v>393</v>
      </c>
    </row>
    <row r="546" spans="1:14" ht="11.25" customHeight="1">
      <c r="A546" t="s">
        <v>2191</v>
      </c>
      <c r="B546" t="s">
        <v>14</v>
      </c>
      <c r="C546" t="s">
        <v>3360</v>
      </c>
      <c r="D546" t="s">
        <v>3361</v>
      </c>
      <c r="E546" t="s">
        <v>3362</v>
      </c>
      <c r="F546" t="s">
        <v>2940</v>
      </c>
      <c r="G546" t="s">
        <v>17</v>
      </c>
      <c r="H546" t="s">
        <v>17</v>
      </c>
      <c r="I546" t="s">
        <v>2319</v>
      </c>
      <c r="J546" t="s">
        <v>17</v>
      </c>
      <c r="K546" t="s">
        <v>3247</v>
      </c>
      <c r="L546" t="s">
        <v>3340</v>
      </c>
      <c r="M546" t="s">
        <v>3363</v>
      </c>
      <c r="N546" t="s">
        <v>393</v>
      </c>
    </row>
    <row r="547" spans="1:14" ht="11.25" customHeight="1">
      <c r="A547" t="s">
        <v>2191</v>
      </c>
      <c r="B547" t="s">
        <v>14</v>
      </c>
      <c r="C547" t="s">
        <v>3364</v>
      </c>
      <c r="D547" t="s">
        <v>3365</v>
      </c>
      <c r="E547" t="s">
        <v>3366</v>
      </c>
      <c r="F547" t="s">
        <v>2410</v>
      </c>
      <c r="G547" t="s">
        <v>3367</v>
      </c>
      <c r="H547" t="s">
        <v>17</v>
      </c>
      <c r="I547" t="s">
        <v>2319</v>
      </c>
      <c r="J547" t="s">
        <v>17</v>
      </c>
      <c r="K547" t="s">
        <v>3239</v>
      </c>
      <c r="L547" t="s">
        <v>3332</v>
      </c>
      <c r="M547" t="s">
        <v>3368</v>
      </c>
      <c r="N547" t="s">
        <v>393</v>
      </c>
    </row>
    <row r="548" spans="1:14" ht="11.25" customHeight="1">
      <c r="A548" t="s">
        <v>2191</v>
      </c>
      <c r="B548" t="s">
        <v>14</v>
      </c>
      <c r="C548" t="s">
        <v>2551</v>
      </c>
      <c r="D548" t="s">
        <v>2552</v>
      </c>
      <c r="E548" t="s">
        <v>2553</v>
      </c>
      <c r="F548" t="s">
        <v>2554</v>
      </c>
      <c r="G548" t="s">
        <v>17</v>
      </c>
      <c r="H548" t="s">
        <v>17</v>
      </c>
      <c r="I548" t="s">
        <v>2486</v>
      </c>
      <c r="J548" t="s">
        <v>17</v>
      </c>
      <c r="K548" t="s">
        <v>3239</v>
      </c>
      <c r="L548" t="s">
        <v>3245</v>
      </c>
      <c r="M548" t="s">
        <v>3246</v>
      </c>
      <c r="N548" t="s">
        <v>393</v>
      </c>
    </row>
    <row r="549" spans="1:14" ht="11.25" customHeight="1">
      <c r="A549" t="s">
        <v>2191</v>
      </c>
      <c r="B549" t="s">
        <v>14</v>
      </c>
      <c r="C549" t="s">
        <v>2551</v>
      </c>
      <c r="D549" t="s">
        <v>2552</v>
      </c>
      <c r="E549" t="s">
        <v>2553</v>
      </c>
      <c r="F549" t="s">
        <v>2554</v>
      </c>
      <c r="G549" t="s">
        <v>17</v>
      </c>
      <c r="H549" t="s">
        <v>17</v>
      </c>
      <c r="I549" t="s">
        <v>2486</v>
      </c>
      <c r="J549" t="s">
        <v>17</v>
      </c>
      <c r="K549" t="s">
        <v>3247</v>
      </c>
      <c r="L549" t="s">
        <v>3245</v>
      </c>
      <c r="M549" t="s">
        <v>3246</v>
      </c>
      <c r="N549" t="s">
        <v>393</v>
      </c>
    </row>
    <row r="550" spans="1:14" ht="11.25" customHeight="1">
      <c r="A550" t="s">
        <v>2191</v>
      </c>
      <c r="B550" t="s">
        <v>14</v>
      </c>
      <c r="C550" t="s">
        <v>3369</v>
      </c>
      <c r="D550" t="s">
        <v>3370</v>
      </c>
      <c r="E550" t="s">
        <v>3371</v>
      </c>
      <c r="F550" t="s">
        <v>2640</v>
      </c>
      <c r="G550" t="s">
        <v>17</v>
      </c>
      <c r="H550" t="s">
        <v>17</v>
      </c>
      <c r="I550" t="s">
        <v>2319</v>
      </c>
      <c r="J550" t="s">
        <v>17</v>
      </c>
      <c r="K550" t="s">
        <v>3239</v>
      </c>
      <c r="L550" t="s">
        <v>3245</v>
      </c>
      <c r="M550" t="s">
        <v>3246</v>
      </c>
      <c r="N550" t="s">
        <v>393</v>
      </c>
    </row>
    <row r="551" spans="1:14" ht="11.25" customHeight="1">
      <c r="A551" t="s">
        <v>2191</v>
      </c>
      <c r="B551" t="s">
        <v>14</v>
      </c>
      <c r="C551" t="s">
        <v>3369</v>
      </c>
      <c r="D551" t="s">
        <v>3370</v>
      </c>
      <c r="E551" t="s">
        <v>3371</v>
      </c>
      <c r="F551" t="s">
        <v>2640</v>
      </c>
      <c r="G551" t="s">
        <v>17</v>
      </c>
      <c r="H551" t="s">
        <v>17</v>
      </c>
      <c r="I551" t="s">
        <v>2319</v>
      </c>
      <c r="J551" t="s">
        <v>17</v>
      </c>
      <c r="K551" t="s">
        <v>3247</v>
      </c>
      <c r="L551" t="s">
        <v>3245</v>
      </c>
      <c r="M551" t="s">
        <v>3246</v>
      </c>
      <c r="N551" t="s">
        <v>393</v>
      </c>
    </row>
    <row r="552" spans="1:14" ht="11.25" customHeight="1">
      <c r="A552" t="s">
        <v>2191</v>
      </c>
      <c r="B552" t="s">
        <v>14</v>
      </c>
      <c r="C552" t="s">
        <v>2555</v>
      </c>
      <c r="D552" t="s">
        <v>2556</v>
      </c>
      <c r="E552" t="s">
        <v>2557</v>
      </c>
      <c r="F552" t="s">
        <v>2410</v>
      </c>
      <c r="G552" t="s">
        <v>17</v>
      </c>
      <c r="H552" t="s">
        <v>17</v>
      </c>
      <c r="I552" t="s">
        <v>2319</v>
      </c>
      <c r="J552" t="s">
        <v>17</v>
      </c>
      <c r="K552" t="s">
        <v>3239</v>
      </c>
      <c r="L552" t="s">
        <v>3245</v>
      </c>
      <c r="M552" t="s">
        <v>3246</v>
      </c>
      <c r="N552" t="s">
        <v>393</v>
      </c>
    </row>
    <row r="553" spans="1:14" ht="11.25" customHeight="1">
      <c r="A553" t="s">
        <v>2191</v>
      </c>
      <c r="B553" t="s">
        <v>14</v>
      </c>
      <c r="C553" t="s">
        <v>2555</v>
      </c>
      <c r="D553" t="s">
        <v>2556</v>
      </c>
      <c r="E553" t="s">
        <v>2557</v>
      </c>
      <c r="F553" t="s">
        <v>2410</v>
      </c>
      <c r="G553" t="s">
        <v>17</v>
      </c>
      <c r="H553" t="s">
        <v>17</v>
      </c>
      <c r="I553" t="s">
        <v>2319</v>
      </c>
      <c r="J553" t="s">
        <v>17</v>
      </c>
      <c r="K553" t="s">
        <v>3247</v>
      </c>
      <c r="L553" t="s">
        <v>3245</v>
      </c>
      <c r="M553" t="s">
        <v>3246</v>
      </c>
      <c r="N553" t="s">
        <v>393</v>
      </c>
    </row>
    <row r="554" spans="1:14" ht="11.25" customHeight="1">
      <c r="A554" t="s">
        <v>2191</v>
      </c>
      <c r="B554" t="s">
        <v>14</v>
      </c>
      <c r="C554" t="s">
        <v>3372</v>
      </c>
      <c r="D554" t="s">
        <v>3373</v>
      </c>
      <c r="E554" t="s">
        <v>3374</v>
      </c>
      <c r="F554" t="s">
        <v>2422</v>
      </c>
      <c r="G554" t="s">
        <v>17</v>
      </c>
      <c r="H554" t="s">
        <v>17</v>
      </c>
      <c r="I554" t="s">
        <v>2319</v>
      </c>
      <c r="J554" t="s">
        <v>17</v>
      </c>
      <c r="K554" t="s">
        <v>3239</v>
      </c>
      <c r="L554" t="s">
        <v>3245</v>
      </c>
      <c r="M554" t="s">
        <v>3246</v>
      </c>
      <c r="N554" t="s">
        <v>393</v>
      </c>
    </row>
    <row r="555" spans="1:14" ht="11.25" customHeight="1">
      <c r="A555" t="s">
        <v>2191</v>
      </c>
      <c r="B555" t="s">
        <v>14</v>
      </c>
      <c r="C555" t="s">
        <v>3372</v>
      </c>
      <c r="D555" t="s">
        <v>3373</v>
      </c>
      <c r="E555" t="s">
        <v>3374</v>
      </c>
      <c r="F555" t="s">
        <v>2422</v>
      </c>
      <c r="G555" t="s">
        <v>17</v>
      </c>
      <c r="H555" t="s">
        <v>17</v>
      </c>
      <c r="I555" t="s">
        <v>2319</v>
      </c>
      <c r="J555" t="s">
        <v>17</v>
      </c>
      <c r="K555" t="s">
        <v>3247</v>
      </c>
      <c r="L555" t="s">
        <v>3245</v>
      </c>
      <c r="M555" t="s">
        <v>3246</v>
      </c>
      <c r="N555" t="s">
        <v>393</v>
      </c>
    </row>
    <row r="556" spans="1:14" ht="11.25" customHeight="1">
      <c r="A556" t="s">
        <v>2191</v>
      </c>
      <c r="B556" t="s">
        <v>14</v>
      </c>
      <c r="C556" t="s">
        <v>3375</v>
      </c>
      <c r="D556" t="s">
        <v>2559</v>
      </c>
      <c r="E556" t="s">
        <v>3376</v>
      </c>
      <c r="F556" t="s">
        <v>2739</v>
      </c>
      <c r="G556" t="s">
        <v>17</v>
      </c>
      <c r="H556" t="s">
        <v>17</v>
      </c>
      <c r="I556" t="s">
        <v>2319</v>
      </c>
      <c r="J556" t="s">
        <v>2319</v>
      </c>
      <c r="K556" t="s">
        <v>3239</v>
      </c>
      <c r="L556" t="s">
        <v>3245</v>
      </c>
      <c r="M556" t="s">
        <v>3246</v>
      </c>
      <c r="N556" t="s">
        <v>393</v>
      </c>
    </row>
    <row r="557" spans="1:14" ht="11.25" customHeight="1">
      <c r="A557" t="s">
        <v>2191</v>
      </c>
      <c r="B557" t="s">
        <v>14</v>
      </c>
      <c r="C557" t="s">
        <v>3375</v>
      </c>
      <c r="D557" t="s">
        <v>2559</v>
      </c>
      <c r="E557" t="s">
        <v>3376</v>
      </c>
      <c r="F557" t="s">
        <v>2739</v>
      </c>
      <c r="G557" t="s">
        <v>17</v>
      </c>
      <c r="H557" t="s">
        <v>17</v>
      </c>
      <c r="I557" t="s">
        <v>2319</v>
      </c>
      <c r="J557" t="s">
        <v>2319</v>
      </c>
      <c r="K557" t="s">
        <v>3247</v>
      </c>
      <c r="L557" t="s">
        <v>3245</v>
      </c>
      <c r="M557" t="s">
        <v>3246</v>
      </c>
      <c r="N557" t="s">
        <v>393</v>
      </c>
    </row>
    <row r="558" spans="1:14" ht="11.25" customHeight="1">
      <c r="A558" t="s">
        <v>2191</v>
      </c>
      <c r="B558" t="s">
        <v>14</v>
      </c>
      <c r="C558" t="s">
        <v>2558</v>
      </c>
      <c r="D558" t="s">
        <v>2559</v>
      </c>
      <c r="E558" t="s">
        <v>2560</v>
      </c>
      <c r="F558" t="s">
        <v>2253</v>
      </c>
      <c r="G558" t="s">
        <v>17</v>
      </c>
      <c r="H558" t="s">
        <v>17</v>
      </c>
      <c r="I558" t="s">
        <v>3377</v>
      </c>
      <c r="J558" t="s">
        <v>17</v>
      </c>
      <c r="K558" t="s">
        <v>3239</v>
      </c>
      <c r="L558" t="s">
        <v>3245</v>
      </c>
      <c r="M558" t="s">
        <v>3246</v>
      </c>
      <c r="N558" t="s">
        <v>393</v>
      </c>
    </row>
    <row r="559" spans="1:14" ht="11.25" customHeight="1">
      <c r="A559" t="s">
        <v>2191</v>
      </c>
      <c r="B559" t="s">
        <v>14</v>
      </c>
      <c r="C559" t="s">
        <v>2558</v>
      </c>
      <c r="D559" t="s">
        <v>2559</v>
      </c>
      <c r="E559" t="s">
        <v>2560</v>
      </c>
      <c r="F559" t="s">
        <v>2253</v>
      </c>
      <c r="G559" t="s">
        <v>17</v>
      </c>
      <c r="H559" t="s">
        <v>17</v>
      </c>
      <c r="I559" t="s">
        <v>3377</v>
      </c>
      <c r="J559" t="s">
        <v>17</v>
      </c>
      <c r="K559" t="s">
        <v>3247</v>
      </c>
      <c r="L559" t="s">
        <v>3245</v>
      </c>
      <c r="M559" t="s">
        <v>3246</v>
      </c>
      <c r="N559" t="s">
        <v>393</v>
      </c>
    </row>
    <row r="560" spans="1:14" ht="11.25" customHeight="1">
      <c r="A560" t="s">
        <v>2191</v>
      </c>
      <c r="B560" t="s">
        <v>14</v>
      </c>
      <c r="C560" t="s">
        <v>3378</v>
      </c>
      <c r="D560" t="s">
        <v>3379</v>
      </c>
      <c r="E560" t="s">
        <v>3380</v>
      </c>
      <c r="F560" t="s">
        <v>2607</v>
      </c>
      <c r="G560" t="s">
        <v>17</v>
      </c>
      <c r="H560" t="s">
        <v>17</v>
      </c>
      <c r="I560" t="s">
        <v>2319</v>
      </c>
      <c r="J560" t="s">
        <v>17</v>
      </c>
      <c r="K560" t="s">
        <v>3239</v>
      </c>
      <c r="L560" t="s">
        <v>3245</v>
      </c>
      <c r="M560" t="s">
        <v>3246</v>
      </c>
      <c r="N560" t="s">
        <v>393</v>
      </c>
    </row>
    <row r="561" spans="1:14" ht="11.25" customHeight="1">
      <c r="A561" t="s">
        <v>2191</v>
      </c>
      <c r="B561" t="s">
        <v>14</v>
      </c>
      <c r="C561" t="s">
        <v>3378</v>
      </c>
      <c r="D561" t="s">
        <v>3379</v>
      </c>
      <c r="E561" t="s">
        <v>3380</v>
      </c>
      <c r="F561" t="s">
        <v>2607</v>
      </c>
      <c r="G561" t="s">
        <v>17</v>
      </c>
      <c r="H561" t="s">
        <v>17</v>
      </c>
      <c r="I561" t="s">
        <v>2319</v>
      </c>
      <c r="J561" t="s">
        <v>17</v>
      </c>
      <c r="K561" t="s">
        <v>3247</v>
      </c>
      <c r="L561" t="s">
        <v>3245</v>
      </c>
      <c r="M561" t="s">
        <v>3246</v>
      </c>
      <c r="N561" t="s">
        <v>393</v>
      </c>
    </row>
    <row r="562" spans="1:14" ht="11.25" customHeight="1">
      <c r="A562" t="s">
        <v>2191</v>
      </c>
      <c r="B562" t="s">
        <v>14</v>
      </c>
      <c r="C562" t="s">
        <v>3381</v>
      </c>
      <c r="D562" t="s">
        <v>3382</v>
      </c>
      <c r="E562" t="s">
        <v>3383</v>
      </c>
      <c r="F562" t="s">
        <v>2607</v>
      </c>
      <c r="G562" t="s">
        <v>17</v>
      </c>
      <c r="H562" t="s">
        <v>17</v>
      </c>
      <c r="I562" t="s">
        <v>2319</v>
      </c>
      <c r="J562" t="s">
        <v>17</v>
      </c>
      <c r="K562" t="s">
        <v>3239</v>
      </c>
      <c r="L562" t="s">
        <v>3245</v>
      </c>
      <c r="M562" t="s">
        <v>3246</v>
      </c>
      <c r="N562" t="s">
        <v>393</v>
      </c>
    </row>
    <row r="563" spans="1:14" ht="11.25" customHeight="1">
      <c r="A563" t="s">
        <v>2191</v>
      </c>
      <c r="B563" t="s">
        <v>14</v>
      </c>
      <c r="C563" t="s">
        <v>3381</v>
      </c>
      <c r="D563" t="s">
        <v>3382</v>
      </c>
      <c r="E563" t="s">
        <v>3383</v>
      </c>
      <c r="F563" t="s">
        <v>2607</v>
      </c>
      <c r="G563" t="s">
        <v>17</v>
      </c>
      <c r="H563" t="s">
        <v>17</v>
      </c>
      <c r="I563" t="s">
        <v>2319</v>
      </c>
      <c r="J563" t="s">
        <v>17</v>
      </c>
      <c r="K563" t="s">
        <v>3247</v>
      </c>
      <c r="L563" t="s">
        <v>3245</v>
      </c>
      <c r="M563" t="s">
        <v>3246</v>
      </c>
      <c r="N563" t="s">
        <v>393</v>
      </c>
    </row>
    <row r="564" spans="1:14" ht="11.25" customHeight="1">
      <c r="A564" t="s">
        <v>2191</v>
      </c>
      <c r="B564" t="s">
        <v>14</v>
      </c>
      <c r="C564" t="s">
        <v>3384</v>
      </c>
      <c r="D564" t="s">
        <v>3385</v>
      </c>
      <c r="E564" t="s">
        <v>3386</v>
      </c>
      <c r="F564" t="s">
        <v>2345</v>
      </c>
      <c r="G564" t="s">
        <v>17</v>
      </c>
      <c r="H564" t="s">
        <v>17</v>
      </c>
      <c r="I564" t="s">
        <v>2196</v>
      </c>
      <c r="J564" t="s">
        <v>17</v>
      </c>
      <c r="K564" t="s">
        <v>3239</v>
      </c>
      <c r="L564" t="s">
        <v>3240</v>
      </c>
      <c r="M564" t="s">
        <v>3241</v>
      </c>
      <c r="N564" t="s">
        <v>393</v>
      </c>
    </row>
    <row r="565" spans="1:14" ht="11.25" customHeight="1">
      <c r="A565" t="s">
        <v>2191</v>
      </c>
      <c r="B565" t="s">
        <v>14</v>
      </c>
      <c r="C565" t="s">
        <v>3387</v>
      </c>
      <c r="D565" t="s">
        <v>3388</v>
      </c>
      <c r="E565" t="s">
        <v>3389</v>
      </c>
      <c r="F565" t="s">
        <v>2739</v>
      </c>
      <c r="G565" t="s">
        <v>17</v>
      </c>
      <c r="H565" t="s">
        <v>17</v>
      </c>
      <c r="I565" t="s">
        <v>2319</v>
      </c>
      <c r="J565" t="s">
        <v>17</v>
      </c>
      <c r="K565" t="s">
        <v>3239</v>
      </c>
      <c r="L565" t="s">
        <v>3245</v>
      </c>
      <c r="M565" t="s">
        <v>3246</v>
      </c>
      <c r="N565" t="s">
        <v>393</v>
      </c>
    </row>
    <row r="566" spans="1:14" ht="11.25" customHeight="1">
      <c r="A566" t="s">
        <v>2191</v>
      </c>
      <c r="B566" t="s">
        <v>14</v>
      </c>
      <c r="C566" t="s">
        <v>3387</v>
      </c>
      <c r="D566" t="s">
        <v>3388</v>
      </c>
      <c r="E566" t="s">
        <v>3389</v>
      </c>
      <c r="F566" t="s">
        <v>2739</v>
      </c>
      <c r="G566" t="s">
        <v>17</v>
      </c>
      <c r="H566" t="s">
        <v>17</v>
      </c>
      <c r="I566" t="s">
        <v>2319</v>
      </c>
      <c r="J566" t="s">
        <v>17</v>
      </c>
      <c r="K566" t="s">
        <v>3247</v>
      </c>
      <c r="L566" t="s">
        <v>3245</v>
      </c>
      <c r="M566" t="s">
        <v>3246</v>
      </c>
      <c r="N566" t="s">
        <v>393</v>
      </c>
    </row>
    <row r="567" spans="1:14" ht="11.25" customHeight="1">
      <c r="A567" t="s">
        <v>2191</v>
      </c>
      <c r="B567" t="s">
        <v>14</v>
      </c>
      <c r="C567" t="s">
        <v>3390</v>
      </c>
      <c r="D567" t="s">
        <v>3391</v>
      </c>
      <c r="E567" t="s">
        <v>3392</v>
      </c>
      <c r="F567" t="s">
        <v>2630</v>
      </c>
      <c r="G567" t="s">
        <v>17</v>
      </c>
      <c r="H567" t="s">
        <v>17</v>
      </c>
      <c r="I567" t="s">
        <v>2319</v>
      </c>
      <c r="J567" t="s">
        <v>17</v>
      </c>
      <c r="K567" t="s">
        <v>3239</v>
      </c>
      <c r="L567" t="s">
        <v>3245</v>
      </c>
      <c r="M567" t="s">
        <v>3246</v>
      </c>
      <c r="N567" t="s">
        <v>393</v>
      </c>
    </row>
    <row r="568" spans="1:14" ht="11.25" customHeight="1">
      <c r="A568" t="s">
        <v>2191</v>
      </c>
      <c r="B568" t="s">
        <v>14</v>
      </c>
      <c r="C568" t="s">
        <v>3390</v>
      </c>
      <c r="D568" t="s">
        <v>3391</v>
      </c>
      <c r="E568" t="s">
        <v>3392</v>
      </c>
      <c r="F568" t="s">
        <v>2630</v>
      </c>
      <c r="G568" t="s">
        <v>17</v>
      </c>
      <c r="H568" t="s">
        <v>17</v>
      </c>
      <c r="I568" t="s">
        <v>2319</v>
      </c>
      <c r="J568" t="s">
        <v>17</v>
      </c>
      <c r="K568" t="s">
        <v>3247</v>
      </c>
      <c r="L568" t="s">
        <v>3245</v>
      </c>
      <c r="M568" t="s">
        <v>3246</v>
      </c>
      <c r="N568" t="s">
        <v>393</v>
      </c>
    </row>
    <row r="569" spans="1:14" ht="11.25" customHeight="1">
      <c r="A569" t="s">
        <v>2191</v>
      </c>
      <c r="B569" t="s">
        <v>14</v>
      </c>
      <c r="C569" t="s">
        <v>2566</v>
      </c>
      <c r="D569" t="s">
        <v>2567</v>
      </c>
      <c r="E569" t="s">
        <v>2568</v>
      </c>
      <c r="F569" t="s">
        <v>2546</v>
      </c>
      <c r="G569" t="s">
        <v>17</v>
      </c>
      <c r="H569" t="s">
        <v>17</v>
      </c>
      <c r="I569" t="s">
        <v>2319</v>
      </c>
      <c r="J569" t="s">
        <v>17</v>
      </c>
      <c r="K569" t="s">
        <v>3239</v>
      </c>
      <c r="L569" t="s">
        <v>3245</v>
      </c>
      <c r="M569" t="s">
        <v>3246</v>
      </c>
      <c r="N569" t="s">
        <v>393</v>
      </c>
    </row>
    <row r="570" spans="1:14" ht="11.25" customHeight="1">
      <c r="A570" t="s">
        <v>2191</v>
      </c>
      <c r="B570" t="s">
        <v>14</v>
      </c>
      <c r="C570" t="s">
        <v>2566</v>
      </c>
      <c r="D570" t="s">
        <v>2567</v>
      </c>
      <c r="E570" t="s">
        <v>2568</v>
      </c>
      <c r="F570" t="s">
        <v>2546</v>
      </c>
      <c r="G570" t="s">
        <v>17</v>
      </c>
      <c r="H570" t="s">
        <v>17</v>
      </c>
      <c r="I570" t="s">
        <v>2319</v>
      </c>
      <c r="J570" t="s">
        <v>17</v>
      </c>
      <c r="K570" t="s">
        <v>3247</v>
      </c>
      <c r="L570" t="s">
        <v>3245</v>
      </c>
      <c r="M570" t="s">
        <v>3246</v>
      </c>
      <c r="N570" t="s">
        <v>393</v>
      </c>
    </row>
    <row r="571" spans="1:14" ht="11.25" customHeight="1">
      <c r="A571" t="s">
        <v>2191</v>
      </c>
      <c r="B571" t="s">
        <v>14</v>
      </c>
      <c r="C571" t="s">
        <v>2569</v>
      </c>
      <c r="D571" t="s">
        <v>2570</v>
      </c>
      <c r="E571" t="s">
        <v>2571</v>
      </c>
      <c r="F571" t="s">
        <v>2530</v>
      </c>
      <c r="G571" t="s">
        <v>17</v>
      </c>
      <c r="H571" t="s">
        <v>17</v>
      </c>
      <c r="I571" t="s">
        <v>2319</v>
      </c>
      <c r="J571" t="s">
        <v>17</v>
      </c>
      <c r="K571" t="s">
        <v>3239</v>
      </c>
      <c r="L571" t="s">
        <v>3245</v>
      </c>
      <c r="M571" t="s">
        <v>3246</v>
      </c>
      <c r="N571" t="s">
        <v>393</v>
      </c>
    </row>
    <row r="572" spans="1:14" ht="11.25" customHeight="1">
      <c r="A572" t="s">
        <v>2191</v>
      </c>
      <c r="B572" t="s">
        <v>14</v>
      </c>
      <c r="C572" t="s">
        <v>2569</v>
      </c>
      <c r="D572" t="s">
        <v>2570</v>
      </c>
      <c r="E572" t="s">
        <v>2571</v>
      </c>
      <c r="F572" t="s">
        <v>2530</v>
      </c>
      <c r="G572" t="s">
        <v>17</v>
      </c>
      <c r="H572" t="s">
        <v>17</v>
      </c>
      <c r="I572" t="s">
        <v>2319</v>
      </c>
      <c r="J572" t="s">
        <v>17</v>
      </c>
      <c r="K572" t="s">
        <v>3247</v>
      </c>
      <c r="L572" t="s">
        <v>3245</v>
      </c>
      <c r="M572" t="s">
        <v>3246</v>
      </c>
      <c r="N572" t="s">
        <v>393</v>
      </c>
    </row>
    <row r="573" spans="1:14" ht="11.25" customHeight="1">
      <c r="A573" t="s">
        <v>2191</v>
      </c>
      <c r="B573" t="s">
        <v>14</v>
      </c>
      <c r="C573" t="s">
        <v>2572</v>
      </c>
      <c r="D573" t="s">
        <v>2573</v>
      </c>
      <c r="E573" t="s">
        <v>2574</v>
      </c>
      <c r="F573" t="s">
        <v>2530</v>
      </c>
      <c r="G573" t="s">
        <v>17</v>
      </c>
      <c r="H573" t="s">
        <v>17</v>
      </c>
      <c r="I573" t="s">
        <v>2319</v>
      </c>
      <c r="J573" t="s">
        <v>17</v>
      </c>
      <c r="K573" t="s">
        <v>3239</v>
      </c>
      <c r="L573" t="s">
        <v>3245</v>
      </c>
      <c r="M573" t="s">
        <v>3246</v>
      </c>
      <c r="N573" t="s">
        <v>393</v>
      </c>
    </row>
    <row r="574" spans="1:14" ht="11.25" customHeight="1">
      <c r="A574" t="s">
        <v>2191</v>
      </c>
      <c r="B574" t="s">
        <v>14</v>
      </c>
      <c r="C574" t="s">
        <v>2572</v>
      </c>
      <c r="D574" t="s">
        <v>2573</v>
      </c>
      <c r="E574" t="s">
        <v>2574</v>
      </c>
      <c r="F574" t="s">
        <v>2530</v>
      </c>
      <c r="G574" t="s">
        <v>17</v>
      </c>
      <c r="H574" t="s">
        <v>17</v>
      </c>
      <c r="I574" t="s">
        <v>2319</v>
      </c>
      <c r="J574" t="s">
        <v>17</v>
      </c>
      <c r="K574" t="s">
        <v>3247</v>
      </c>
      <c r="L574" t="s">
        <v>3245</v>
      </c>
      <c r="M574" t="s">
        <v>3246</v>
      </c>
      <c r="N574" t="s">
        <v>393</v>
      </c>
    </row>
    <row r="575" spans="1:14" ht="11.25" customHeight="1">
      <c r="A575" t="s">
        <v>2191</v>
      </c>
      <c r="B575" t="s">
        <v>14</v>
      </c>
      <c r="C575" t="s">
        <v>2575</v>
      </c>
      <c r="D575" t="s">
        <v>2576</v>
      </c>
      <c r="E575" t="s">
        <v>2577</v>
      </c>
      <c r="F575" t="s">
        <v>2530</v>
      </c>
      <c r="G575" t="s">
        <v>17</v>
      </c>
      <c r="H575" t="s">
        <v>17</v>
      </c>
      <c r="I575" t="s">
        <v>2319</v>
      </c>
      <c r="J575" t="s">
        <v>17</v>
      </c>
      <c r="K575" t="s">
        <v>3239</v>
      </c>
      <c r="L575" t="s">
        <v>3240</v>
      </c>
      <c r="M575" t="s">
        <v>3241</v>
      </c>
      <c r="N575" t="s">
        <v>393</v>
      </c>
    </row>
    <row r="576" spans="1:14" ht="11.25" customHeight="1">
      <c r="A576" t="s">
        <v>2191</v>
      </c>
      <c r="B576" t="s">
        <v>14</v>
      </c>
      <c r="C576" t="s">
        <v>2578</v>
      </c>
      <c r="D576" t="s">
        <v>2579</v>
      </c>
      <c r="E576" t="s">
        <v>2580</v>
      </c>
      <c r="F576" t="s">
        <v>2530</v>
      </c>
      <c r="G576" t="s">
        <v>17</v>
      </c>
      <c r="H576" t="s">
        <v>17</v>
      </c>
      <c r="I576" t="s">
        <v>2319</v>
      </c>
      <c r="J576" t="s">
        <v>17</v>
      </c>
      <c r="K576" t="s">
        <v>3239</v>
      </c>
      <c r="L576" t="s">
        <v>3240</v>
      </c>
      <c r="M576" t="s">
        <v>3241</v>
      </c>
      <c r="N576" t="s">
        <v>393</v>
      </c>
    </row>
    <row r="577" spans="1:14" ht="11.25" customHeight="1">
      <c r="A577" t="s">
        <v>2191</v>
      </c>
      <c r="B577" t="s">
        <v>14</v>
      </c>
      <c r="C577" t="s">
        <v>2581</v>
      </c>
      <c r="D577" t="s">
        <v>2582</v>
      </c>
      <c r="E577" t="s">
        <v>2583</v>
      </c>
      <c r="F577" t="s">
        <v>2530</v>
      </c>
      <c r="G577" t="s">
        <v>17</v>
      </c>
      <c r="H577" t="s">
        <v>17</v>
      </c>
      <c r="I577" t="s">
        <v>2319</v>
      </c>
      <c r="J577" t="s">
        <v>17</v>
      </c>
      <c r="K577" t="s">
        <v>3239</v>
      </c>
      <c r="L577" t="s">
        <v>3245</v>
      </c>
      <c r="M577" t="s">
        <v>3246</v>
      </c>
      <c r="N577" t="s">
        <v>393</v>
      </c>
    </row>
    <row r="578" spans="1:14" ht="11.25" customHeight="1">
      <c r="A578" t="s">
        <v>2191</v>
      </c>
      <c r="B578" t="s">
        <v>14</v>
      </c>
      <c r="C578" t="s">
        <v>2581</v>
      </c>
      <c r="D578" t="s">
        <v>2582</v>
      </c>
      <c r="E578" t="s">
        <v>2583</v>
      </c>
      <c r="F578" t="s">
        <v>2530</v>
      </c>
      <c r="G578" t="s">
        <v>17</v>
      </c>
      <c r="H578" t="s">
        <v>17</v>
      </c>
      <c r="I578" t="s">
        <v>2319</v>
      </c>
      <c r="J578" t="s">
        <v>17</v>
      </c>
      <c r="K578" t="s">
        <v>3247</v>
      </c>
      <c r="L578" t="s">
        <v>3245</v>
      </c>
      <c r="M578" t="s">
        <v>3246</v>
      </c>
      <c r="N578" t="s">
        <v>393</v>
      </c>
    </row>
    <row r="579" spans="1:14" ht="11.25" customHeight="1">
      <c r="A579" t="s">
        <v>2191</v>
      </c>
      <c r="B579" t="s">
        <v>14</v>
      </c>
      <c r="C579" t="s">
        <v>2584</v>
      </c>
      <c r="D579" t="s">
        <v>2585</v>
      </c>
      <c r="E579" t="s">
        <v>2586</v>
      </c>
      <c r="F579" t="s">
        <v>2530</v>
      </c>
      <c r="G579" t="s">
        <v>17</v>
      </c>
      <c r="H579" t="s">
        <v>17</v>
      </c>
      <c r="I579" t="s">
        <v>2319</v>
      </c>
      <c r="J579" t="s">
        <v>17</v>
      </c>
      <c r="K579" t="s">
        <v>3239</v>
      </c>
      <c r="L579" t="s">
        <v>3240</v>
      </c>
      <c r="M579" t="s">
        <v>3241</v>
      </c>
      <c r="N579" t="s">
        <v>393</v>
      </c>
    </row>
    <row r="580" spans="1:14" ht="11.25" customHeight="1">
      <c r="A580" t="s">
        <v>2191</v>
      </c>
      <c r="B580" t="s">
        <v>14</v>
      </c>
      <c r="C580" t="s">
        <v>2587</v>
      </c>
      <c r="D580" t="s">
        <v>2588</v>
      </c>
      <c r="E580" t="s">
        <v>2589</v>
      </c>
      <c r="F580" t="s">
        <v>2590</v>
      </c>
      <c r="G580" t="s">
        <v>17</v>
      </c>
      <c r="H580" t="s">
        <v>17</v>
      </c>
      <c r="I580" t="s">
        <v>2235</v>
      </c>
      <c r="J580" t="s">
        <v>17</v>
      </c>
      <c r="K580" t="s">
        <v>3239</v>
      </c>
      <c r="L580" t="s">
        <v>3393</v>
      </c>
      <c r="M580" t="s">
        <v>3394</v>
      </c>
      <c r="N580" t="s">
        <v>393</v>
      </c>
    </row>
    <row r="581" spans="1:14" ht="11.25" customHeight="1">
      <c r="A581" t="s">
        <v>2191</v>
      </c>
      <c r="B581" t="s">
        <v>14</v>
      </c>
      <c r="C581" t="s">
        <v>2587</v>
      </c>
      <c r="D581" t="s">
        <v>2588</v>
      </c>
      <c r="E581" t="s">
        <v>2589</v>
      </c>
      <c r="F581" t="s">
        <v>2590</v>
      </c>
      <c r="G581" t="s">
        <v>17</v>
      </c>
      <c r="H581" t="s">
        <v>17</v>
      </c>
      <c r="I581" t="s">
        <v>2235</v>
      </c>
      <c r="J581" t="s">
        <v>17</v>
      </c>
      <c r="K581" t="s">
        <v>3247</v>
      </c>
      <c r="L581" t="s">
        <v>3393</v>
      </c>
      <c r="M581" t="s">
        <v>3394</v>
      </c>
      <c r="N581" t="s">
        <v>393</v>
      </c>
    </row>
    <row r="582" spans="1:14" ht="11.25" customHeight="1">
      <c r="A582" t="s">
        <v>2191</v>
      </c>
      <c r="B582" t="s">
        <v>14</v>
      </c>
      <c r="C582" t="s">
        <v>2591</v>
      </c>
      <c r="D582" t="s">
        <v>2592</v>
      </c>
      <c r="E582" t="s">
        <v>2593</v>
      </c>
      <c r="F582" t="s">
        <v>2530</v>
      </c>
      <c r="G582" t="s">
        <v>17</v>
      </c>
      <c r="H582" t="s">
        <v>17</v>
      </c>
      <c r="I582" t="s">
        <v>2319</v>
      </c>
      <c r="J582" t="s">
        <v>17</v>
      </c>
      <c r="K582" t="s">
        <v>3239</v>
      </c>
      <c r="L582" t="s">
        <v>3245</v>
      </c>
      <c r="M582" t="s">
        <v>3246</v>
      </c>
      <c r="N582" t="s">
        <v>393</v>
      </c>
    </row>
    <row r="583" spans="1:14" ht="11.25" customHeight="1">
      <c r="A583" t="s">
        <v>2191</v>
      </c>
      <c r="B583" t="s">
        <v>14</v>
      </c>
      <c r="C583" t="s">
        <v>2591</v>
      </c>
      <c r="D583" t="s">
        <v>2592</v>
      </c>
      <c r="E583" t="s">
        <v>2593</v>
      </c>
      <c r="F583" t="s">
        <v>2530</v>
      </c>
      <c r="G583" t="s">
        <v>17</v>
      </c>
      <c r="H583" t="s">
        <v>17</v>
      </c>
      <c r="I583" t="s">
        <v>2319</v>
      </c>
      <c r="J583" t="s">
        <v>17</v>
      </c>
      <c r="K583" t="s">
        <v>3247</v>
      </c>
      <c r="L583" t="s">
        <v>3245</v>
      </c>
      <c r="M583" t="s">
        <v>3246</v>
      </c>
      <c r="N583" t="s">
        <v>393</v>
      </c>
    </row>
    <row r="584" spans="1:14" ht="11.25" customHeight="1">
      <c r="A584" t="s">
        <v>2191</v>
      </c>
      <c r="B584" t="s">
        <v>14</v>
      </c>
      <c r="C584" t="s">
        <v>2594</v>
      </c>
      <c r="D584" t="s">
        <v>2595</v>
      </c>
      <c r="E584" t="s">
        <v>2596</v>
      </c>
      <c r="F584" t="s">
        <v>2530</v>
      </c>
      <c r="G584" t="s">
        <v>17</v>
      </c>
      <c r="H584" t="s">
        <v>17</v>
      </c>
      <c r="I584" t="s">
        <v>2319</v>
      </c>
      <c r="J584" t="s">
        <v>17</v>
      </c>
      <c r="K584" t="s">
        <v>3239</v>
      </c>
      <c r="L584" t="s">
        <v>3245</v>
      </c>
      <c r="M584" t="s">
        <v>3246</v>
      </c>
      <c r="N584" t="s">
        <v>393</v>
      </c>
    </row>
    <row r="585" spans="1:14" ht="11.25" customHeight="1">
      <c r="A585" t="s">
        <v>2191</v>
      </c>
      <c r="B585" t="s">
        <v>14</v>
      </c>
      <c r="C585" t="s">
        <v>2594</v>
      </c>
      <c r="D585" t="s">
        <v>2595</v>
      </c>
      <c r="E585" t="s">
        <v>2596</v>
      </c>
      <c r="F585" t="s">
        <v>2530</v>
      </c>
      <c r="G585" t="s">
        <v>17</v>
      </c>
      <c r="H585" t="s">
        <v>17</v>
      </c>
      <c r="I585" t="s">
        <v>2319</v>
      </c>
      <c r="J585" t="s">
        <v>17</v>
      </c>
      <c r="K585" t="s">
        <v>3247</v>
      </c>
      <c r="L585" t="s">
        <v>3245</v>
      </c>
      <c r="M585" t="s">
        <v>3246</v>
      </c>
      <c r="N585" t="s">
        <v>393</v>
      </c>
    </row>
    <row r="586" spans="1:14" ht="11.25" customHeight="1">
      <c r="A586" t="s">
        <v>2191</v>
      </c>
      <c r="B586" t="s">
        <v>14</v>
      </c>
      <c r="C586" t="s">
        <v>3395</v>
      </c>
      <c r="D586" t="s">
        <v>3396</v>
      </c>
      <c r="E586" t="s">
        <v>3397</v>
      </c>
      <c r="F586" t="s">
        <v>2530</v>
      </c>
      <c r="G586" t="s">
        <v>17</v>
      </c>
      <c r="H586" t="s">
        <v>17</v>
      </c>
      <c r="I586" t="s">
        <v>2319</v>
      </c>
      <c r="J586" t="s">
        <v>17</v>
      </c>
      <c r="K586" t="s">
        <v>3239</v>
      </c>
      <c r="L586" t="s">
        <v>3240</v>
      </c>
      <c r="M586" t="s">
        <v>3241</v>
      </c>
      <c r="N586" t="s">
        <v>393</v>
      </c>
    </row>
    <row r="587" spans="1:14" ht="11.25" customHeight="1">
      <c r="A587" t="s">
        <v>2191</v>
      </c>
      <c r="B587" t="s">
        <v>14</v>
      </c>
      <c r="C587" t="s">
        <v>2597</v>
      </c>
      <c r="D587" t="s">
        <v>2598</v>
      </c>
      <c r="E587" t="s">
        <v>2599</v>
      </c>
      <c r="F587" t="s">
        <v>2600</v>
      </c>
      <c r="G587" t="s">
        <v>17</v>
      </c>
      <c r="H587" t="s">
        <v>17</v>
      </c>
      <c r="I587" t="s">
        <v>2319</v>
      </c>
      <c r="J587" t="s">
        <v>17</v>
      </c>
      <c r="K587" t="s">
        <v>3239</v>
      </c>
      <c r="L587" t="s">
        <v>3245</v>
      </c>
      <c r="M587" t="s">
        <v>3246</v>
      </c>
      <c r="N587" t="s">
        <v>393</v>
      </c>
    </row>
    <row r="588" spans="1:14" ht="11.25" customHeight="1">
      <c r="A588" t="s">
        <v>2191</v>
      </c>
      <c r="B588" t="s">
        <v>14</v>
      </c>
      <c r="C588" t="s">
        <v>2597</v>
      </c>
      <c r="D588" t="s">
        <v>2598</v>
      </c>
      <c r="E588" t="s">
        <v>2599</v>
      </c>
      <c r="F588" t="s">
        <v>2600</v>
      </c>
      <c r="G588" t="s">
        <v>17</v>
      </c>
      <c r="H588" t="s">
        <v>17</v>
      </c>
      <c r="I588" t="s">
        <v>2319</v>
      </c>
      <c r="J588" t="s">
        <v>17</v>
      </c>
      <c r="K588" t="s">
        <v>3247</v>
      </c>
      <c r="L588" t="s">
        <v>3245</v>
      </c>
      <c r="M588" t="s">
        <v>3246</v>
      </c>
      <c r="N588" t="s">
        <v>393</v>
      </c>
    </row>
    <row r="589" spans="1:14" ht="11.25" customHeight="1">
      <c r="A589" t="s">
        <v>2191</v>
      </c>
      <c r="B589" t="s">
        <v>14</v>
      </c>
      <c r="C589" t="s">
        <v>3398</v>
      </c>
      <c r="D589" t="s">
        <v>3399</v>
      </c>
      <c r="E589" t="s">
        <v>3400</v>
      </c>
      <c r="F589" t="s">
        <v>2451</v>
      </c>
      <c r="G589" t="s">
        <v>17</v>
      </c>
      <c r="H589" t="s">
        <v>17</v>
      </c>
      <c r="I589" t="s">
        <v>2319</v>
      </c>
      <c r="J589" t="s">
        <v>2319</v>
      </c>
      <c r="K589" t="s">
        <v>3239</v>
      </c>
      <c r="L589" t="s">
        <v>3245</v>
      </c>
      <c r="M589" t="s">
        <v>3246</v>
      </c>
      <c r="N589" t="s">
        <v>393</v>
      </c>
    </row>
    <row r="590" spans="1:14" ht="11.25" customHeight="1">
      <c r="A590" t="s">
        <v>2191</v>
      </c>
      <c r="B590" t="s">
        <v>14</v>
      </c>
      <c r="C590" t="s">
        <v>3398</v>
      </c>
      <c r="D590" t="s">
        <v>3399</v>
      </c>
      <c r="E590" t="s">
        <v>3400</v>
      </c>
      <c r="F590" t="s">
        <v>2451</v>
      </c>
      <c r="G590" t="s">
        <v>17</v>
      </c>
      <c r="H590" t="s">
        <v>17</v>
      </c>
      <c r="I590" t="s">
        <v>2319</v>
      </c>
      <c r="J590" t="s">
        <v>2319</v>
      </c>
      <c r="K590" t="s">
        <v>3247</v>
      </c>
      <c r="L590" t="s">
        <v>3245</v>
      </c>
      <c r="M590" t="s">
        <v>3246</v>
      </c>
      <c r="N590" t="s">
        <v>393</v>
      </c>
    </row>
    <row r="591" spans="1:14" ht="11.25" customHeight="1">
      <c r="A591" t="s">
        <v>2191</v>
      </c>
      <c r="B591" t="s">
        <v>14</v>
      </c>
      <c r="C591" t="s">
        <v>2601</v>
      </c>
      <c r="D591" t="s">
        <v>2602</v>
      </c>
      <c r="E591" t="s">
        <v>2603</v>
      </c>
      <c r="F591" t="s">
        <v>2398</v>
      </c>
      <c r="G591" t="s">
        <v>17</v>
      </c>
      <c r="H591" t="s">
        <v>17</v>
      </c>
      <c r="I591" t="s">
        <v>2832</v>
      </c>
      <c r="J591" t="s">
        <v>17</v>
      </c>
      <c r="K591" t="s">
        <v>3239</v>
      </c>
      <c r="L591" t="s">
        <v>3245</v>
      </c>
      <c r="M591" t="s">
        <v>3246</v>
      </c>
      <c r="N591" t="s">
        <v>393</v>
      </c>
    </row>
    <row r="592" spans="1:14" ht="11.25" customHeight="1">
      <c r="A592" t="s">
        <v>2191</v>
      </c>
      <c r="B592" t="s">
        <v>14</v>
      </c>
      <c r="C592" t="s">
        <v>2601</v>
      </c>
      <c r="D592" t="s">
        <v>2602</v>
      </c>
      <c r="E592" t="s">
        <v>2603</v>
      </c>
      <c r="F592" t="s">
        <v>2398</v>
      </c>
      <c r="G592" t="s">
        <v>17</v>
      </c>
      <c r="H592" t="s">
        <v>17</v>
      </c>
      <c r="I592" t="s">
        <v>2832</v>
      </c>
      <c r="J592" t="s">
        <v>17</v>
      </c>
      <c r="K592" t="s">
        <v>3247</v>
      </c>
      <c r="L592" t="s">
        <v>3245</v>
      </c>
      <c r="M592" t="s">
        <v>3246</v>
      </c>
      <c r="N592" t="s">
        <v>393</v>
      </c>
    </row>
    <row r="593" spans="1:14" ht="11.25" customHeight="1">
      <c r="A593" t="s">
        <v>2191</v>
      </c>
      <c r="B593" t="s">
        <v>14</v>
      </c>
      <c r="C593" t="s">
        <v>3401</v>
      </c>
      <c r="D593" t="s">
        <v>3402</v>
      </c>
      <c r="E593" t="s">
        <v>3403</v>
      </c>
      <c r="F593" t="s">
        <v>2684</v>
      </c>
      <c r="G593" t="s">
        <v>17</v>
      </c>
      <c r="H593" t="s">
        <v>17</v>
      </c>
      <c r="I593" t="s">
        <v>2319</v>
      </c>
      <c r="J593" t="s">
        <v>17</v>
      </c>
      <c r="K593" t="s">
        <v>3239</v>
      </c>
      <c r="L593" t="s">
        <v>3245</v>
      </c>
      <c r="M593" t="s">
        <v>3246</v>
      </c>
      <c r="N593" t="s">
        <v>393</v>
      </c>
    </row>
    <row r="594" spans="1:14" ht="11.25" customHeight="1">
      <c r="A594" t="s">
        <v>2191</v>
      </c>
      <c r="B594" t="s">
        <v>14</v>
      </c>
      <c r="C594" t="s">
        <v>3401</v>
      </c>
      <c r="D594" t="s">
        <v>3402</v>
      </c>
      <c r="E594" t="s">
        <v>3403</v>
      </c>
      <c r="F594" t="s">
        <v>2684</v>
      </c>
      <c r="G594" t="s">
        <v>17</v>
      </c>
      <c r="H594" t="s">
        <v>17</v>
      </c>
      <c r="I594" t="s">
        <v>2319</v>
      </c>
      <c r="J594" t="s">
        <v>17</v>
      </c>
      <c r="K594" t="s">
        <v>3247</v>
      </c>
      <c r="L594" t="s">
        <v>3245</v>
      </c>
      <c r="M594" t="s">
        <v>3246</v>
      </c>
      <c r="N594" t="s">
        <v>393</v>
      </c>
    </row>
    <row r="595" spans="1:14" ht="11.25" customHeight="1">
      <c r="A595" t="s">
        <v>2191</v>
      </c>
      <c r="B595" t="s">
        <v>14</v>
      </c>
      <c r="C595" t="s">
        <v>2604</v>
      </c>
      <c r="D595" t="s">
        <v>2605</v>
      </c>
      <c r="E595" t="s">
        <v>2606</v>
      </c>
      <c r="F595" t="s">
        <v>2607</v>
      </c>
      <c r="G595" t="s">
        <v>17</v>
      </c>
      <c r="H595" t="s">
        <v>17</v>
      </c>
      <c r="I595" t="s">
        <v>2319</v>
      </c>
      <c r="J595" t="s">
        <v>17</v>
      </c>
      <c r="K595" t="s">
        <v>3239</v>
      </c>
      <c r="L595" t="s">
        <v>3245</v>
      </c>
      <c r="M595" t="s">
        <v>3246</v>
      </c>
      <c r="N595" t="s">
        <v>393</v>
      </c>
    </row>
    <row r="596" spans="1:14" ht="11.25" customHeight="1">
      <c r="A596" t="s">
        <v>2191</v>
      </c>
      <c r="B596" t="s">
        <v>14</v>
      </c>
      <c r="C596" t="s">
        <v>2604</v>
      </c>
      <c r="D596" t="s">
        <v>2605</v>
      </c>
      <c r="E596" t="s">
        <v>2606</v>
      </c>
      <c r="F596" t="s">
        <v>2607</v>
      </c>
      <c r="G596" t="s">
        <v>17</v>
      </c>
      <c r="H596" t="s">
        <v>17</v>
      </c>
      <c r="I596" t="s">
        <v>2319</v>
      </c>
      <c r="J596" t="s">
        <v>17</v>
      </c>
      <c r="K596" t="s">
        <v>3247</v>
      </c>
      <c r="L596" t="s">
        <v>3245</v>
      </c>
      <c r="M596" t="s">
        <v>3246</v>
      </c>
      <c r="N596" t="s">
        <v>393</v>
      </c>
    </row>
    <row r="597" spans="1:14" ht="11.25" customHeight="1">
      <c r="A597" t="s">
        <v>2191</v>
      </c>
      <c r="B597" t="s">
        <v>14</v>
      </c>
      <c r="C597" t="s">
        <v>2608</v>
      </c>
      <c r="D597" t="s">
        <v>2609</v>
      </c>
      <c r="E597" t="s">
        <v>2610</v>
      </c>
      <c r="F597" t="s">
        <v>2234</v>
      </c>
      <c r="G597" t="s">
        <v>17</v>
      </c>
      <c r="H597" t="s">
        <v>17</v>
      </c>
      <c r="I597" t="s">
        <v>2235</v>
      </c>
      <c r="J597" t="s">
        <v>17</v>
      </c>
      <c r="K597" t="s">
        <v>3239</v>
      </c>
      <c r="L597" t="s">
        <v>3245</v>
      </c>
      <c r="M597" t="s">
        <v>3246</v>
      </c>
      <c r="N597" t="s">
        <v>393</v>
      </c>
    </row>
    <row r="598" spans="1:14" ht="11.25" customHeight="1">
      <c r="A598" t="s">
        <v>2191</v>
      </c>
      <c r="B598" t="s">
        <v>14</v>
      </c>
      <c r="C598" t="s">
        <v>2608</v>
      </c>
      <c r="D598" t="s">
        <v>2609</v>
      </c>
      <c r="E598" t="s">
        <v>2610</v>
      </c>
      <c r="F598" t="s">
        <v>2234</v>
      </c>
      <c r="G598" t="s">
        <v>17</v>
      </c>
      <c r="H598" t="s">
        <v>17</v>
      </c>
      <c r="I598" t="s">
        <v>2235</v>
      </c>
      <c r="J598" t="s">
        <v>17</v>
      </c>
      <c r="K598" t="s">
        <v>3247</v>
      </c>
      <c r="L598" t="s">
        <v>3245</v>
      </c>
      <c r="M598" t="s">
        <v>3246</v>
      </c>
      <c r="N598" t="s">
        <v>393</v>
      </c>
    </row>
    <row r="599" spans="1:14" ht="11.25" customHeight="1">
      <c r="A599" t="s">
        <v>2191</v>
      </c>
      <c r="B599" t="s">
        <v>14</v>
      </c>
      <c r="C599" t="s">
        <v>3404</v>
      </c>
      <c r="D599" t="s">
        <v>3405</v>
      </c>
      <c r="E599" t="s">
        <v>3406</v>
      </c>
      <c r="F599" t="s">
        <v>3172</v>
      </c>
      <c r="G599" t="s">
        <v>17</v>
      </c>
      <c r="H599" t="s">
        <v>3407</v>
      </c>
      <c r="I599" t="s">
        <v>2319</v>
      </c>
      <c r="J599" t="s">
        <v>2919</v>
      </c>
      <c r="K599" t="s">
        <v>3239</v>
      </c>
      <c r="L599" t="s">
        <v>3408</v>
      </c>
      <c r="M599" t="s">
        <v>3409</v>
      </c>
      <c r="N599" t="s">
        <v>393</v>
      </c>
    </row>
    <row r="600" spans="1:14" ht="11.25" customHeight="1">
      <c r="A600" t="s">
        <v>2191</v>
      </c>
      <c r="B600" t="s">
        <v>14</v>
      </c>
      <c r="C600" t="s">
        <v>3404</v>
      </c>
      <c r="D600" t="s">
        <v>3405</v>
      </c>
      <c r="E600" t="s">
        <v>3406</v>
      </c>
      <c r="F600" t="s">
        <v>3172</v>
      </c>
      <c r="G600" t="s">
        <v>17</v>
      </c>
      <c r="H600" t="s">
        <v>3407</v>
      </c>
      <c r="I600" t="s">
        <v>2319</v>
      </c>
      <c r="J600" t="s">
        <v>2919</v>
      </c>
      <c r="K600" t="s">
        <v>3247</v>
      </c>
      <c r="L600" t="s">
        <v>3408</v>
      </c>
      <c r="M600" t="s">
        <v>3409</v>
      </c>
      <c r="N600" t="s">
        <v>393</v>
      </c>
    </row>
    <row r="601" spans="1:14" ht="11.25" customHeight="1">
      <c r="A601" t="s">
        <v>2191</v>
      </c>
      <c r="B601" t="s">
        <v>14</v>
      </c>
      <c r="C601" t="s">
        <v>3410</v>
      </c>
      <c r="D601" t="s">
        <v>3411</v>
      </c>
      <c r="E601" t="s">
        <v>3412</v>
      </c>
      <c r="F601" t="s">
        <v>2647</v>
      </c>
      <c r="G601" t="s">
        <v>17</v>
      </c>
      <c r="H601" t="s">
        <v>17</v>
      </c>
      <c r="I601" t="s">
        <v>2319</v>
      </c>
      <c r="J601" t="s">
        <v>17</v>
      </c>
      <c r="K601" t="s">
        <v>3239</v>
      </c>
      <c r="L601" t="s">
        <v>3245</v>
      </c>
      <c r="M601" t="s">
        <v>3246</v>
      </c>
      <c r="N601" t="s">
        <v>393</v>
      </c>
    </row>
    <row r="602" spans="1:14" ht="11.25" customHeight="1">
      <c r="A602" t="s">
        <v>2191</v>
      </c>
      <c r="B602" t="s">
        <v>14</v>
      </c>
      <c r="C602" t="s">
        <v>3410</v>
      </c>
      <c r="D602" t="s">
        <v>3411</v>
      </c>
      <c r="E602" t="s">
        <v>3412</v>
      </c>
      <c r="F602" t="s">
        <v>2647</v>
      </c>
      <c r="G602" t="s">
        <v>17</v>
      </c>
      <c r="H602" t="s">
        <v>17</v>
      </c>
      <c r="I602" t="s">
        <v>2319</v>
      </c>
      <c r="J602" t="s">
        <v>17</v>
      </c>
      <c r="K602" t="s">
        <v>3247</v>
      </c>
      <c r="L602" t="s">
        <v>3245</v>
      </c>
      <c r="M602" t="s">
        <v>3246</v>
      </c>
      <c r="N602" t="s">
        <v>393</v>
      </c>
    </row>
    <row r="603" spans="1:14" ht="11.25" customHeight="1">
      <c r="A603" t="s">
        <v>2191</v>
      </c>
      <c r="B603" t="s">
        <v>14</v>
      </c>
      <c r="C603" t="s">
        <v>3413</v>
      </c>
      <c r="D603" t="s">
        <v>3414</v>
      </c>
      <c r="E603" t="s">
        <v>3415</v>
      </c>
      <c r="F603" t="s">
        <v>2607</v>
      </c>
      <c r="G603" t="s">
        <v>17</v>
      </c>
      <c r="H603" t="s">
        <v>17</v>
      </c>
      <c r="I603" t="s">
        <v>2319</v>
      </c>
      <c r="J603" t="s">
        <v>17</v>
      </c>
      <c r="K603" t="s">
        <v>3239</v>
      </c>
      <c r="L603" t="s">
        <v>3245</v>
      </c>
      <c r="M603" t="s">
        <v>3246</v>
      </c>
      <c r="N603" t="s">
        <v>393</v>
      </c>
    </row>
    <row r="604" spans="1:14" ht="11.25" customHeight="1">
      <c r="A604" t="s">
        <v>2191</v>
      </c>
      <c r="B604" t="s">
        <v>14</v>
      </c>
      <c r="C604" t="s">
        <v>3413</v>
      </c>
      <c r="D604" t="s">
        <v>3414</v>
      </c>
      <c r="E604" t="s">
        <v>3415</v>
      </c>
      <c r="F604" t="s">
        <v>2607</v>
      </c>
      <c r="G604" t="s">
        <v>17</v>
      </c>
      <c r="H604" t="s">
        <v>17</v>
      </c>
      <c r="I604" t="s">
        <v>2319</v>
      </c>
      <c r="J604" t="s">
        <v>17</v>
      </c>
      <c r="K604" t="s">
        <v>3247</v>
      </c>
      <c r="L604" t="s">
        <v>3245</v>
      </c>
      <c r="M604" t="s">
        <v>3246</v>
      </c>
      <c r="N604" t="s">
        <v>393</v>
      </c>
    </row>
    <row r="605" spans="1:14" ht="11.25" customHeight="1">
      <c r="A605" t="s">
        <v>2191</v>
      </c>
      <c r="B605" t="s">
        <v>14</v>
      </c>
      <c r="C605" t="s">
        <v>3416</v>
      </c>
      <c r="D605" t="s">
        <v>3417</v>
      </c>
      <c r="E605" t="s">
        <v>3418</v>
      </c>
      <c r="F605" t="s">
        <v>2630</v>
      </c>
      <c r="G605" t="s">
        <v>17</v>
      </c>
      <c r="H605" t="s">
        <v>17</v>
      </c>
      <c r="I605" t="s">
        <v>2319</v>
      </c>
      <c r="J605" t="s">
        <v>17</v>
      </c>
      <c r="K605" t="s">
        <v>3239</v>
      </c>
      <c r="L605" t="s">
        <v>3245</v>
      </c>
      <c r="M605" t="s">
        <v>3246</v>
      </c>
      <c r="N605" t="s">
        <v>393</v>
      </c>
    </row>
    <row r="606" spans="1:14" ht="11.25" customHeight="1">
      <c r="A606" t="s">
        <v>2191</v>
      </c>
      <c r="B606" t="s">
        <v>14</v>
      </c>
      <c r="C606" t="s">
        <v>3416</v>
      </c>
      <c r="D606" t="s">
        <v>3417</v>
      </c>
      <c r="E606" t="s">
        <v>3418</v>
      </c>
      <c r="F606" t="s">
        <v>2630</v>
      </c>
      <c r="G606" t="s">
        <v>17</v>
      </c>
      <c r="H606" t="s">
        <v>17</v>
      </c>
      <c r="I606" t="s">
        <v>2319</v>
      </c>
      <c r="J606" t="s">
        <v>17</v>
      </c>
      <c r="K606" t="s">
        <v>3247</v>
      </c>
      <c r="L606" t="s">
        <v>3245</v>
      </c>
      <c r="M606" t="s">
        <v>3246</v>
      </c>
      <c r="N606" t="s">
        <v>393</v>
      </c>
    </row>
    <row r="607" spans="1:14" ht="11.25" customHeight="1">
      <c r="A607" t="s">
        <v>2191</v>
      </c>
      <c r="B607" t="s">
        <v>14</v>
      </c>
      <c r="C607" t="s">
        <v>3419</v>
      </c>
      <c r="D607" t="s">
        <v>3420</v>
      </c>
      <c r="E607" t="s">
        <v>3421</v>
      </c>
      <c r="F607" t="s">
        <v>2414</v>
      </c>
      <c r="G607" t="s">
        <v>17</v>
      </c>
      <c r="H607" t="s">
        <v>17</v>
      </c>
      <c r="I607" t="s">
        <v>2319</v>
      </c>
      <c r="J607" t="s">
        <v>17</v>
      </c>
      <c r="K607" t="s">
        <v>3239</v>
      </c>
      <c r="L607" t="s">
        <v>3245</v>
      </c>
      <c r="M607" t="s">
        <v>3246</v>
      </c>
      <c r="N607" t="s">
        <v>393</v>
      </c>
    </row>
    <row r="608" spans="1:14" ht="11.25" customHeight="1">
      <c r="A608" t="s">
        <v>2191</v>
      </c>
      <c r="B608" t="s">
        <v>14</v>
      </c>
      <c r="C608" t="s">
        <v>3419</v>
      </c>
      <c r="D608" t="s">
        <v>3420</v>
      </c>
      <c r="E608" t="s">
        <v>3421</v>
      </c>
      <c r="F608" t="s">
        <v>2414</v>
      </c>
      <c r="G608" t="s">
        <v>17</v>
      </c>
      <c r="H608" t="s">
        <v>17</v>
      </c>
      <c r="I608" t="s">
        <v>2319</v>
      </c>
      <c r="J608" t="s">
        <v>17</v>
      </c>
      <c r="K608" t="s">
        <v>3247</v>
      </c>
      <c r="L608" t="s">
        <v>3245</v>
      </c>
      <c r="M608" t="s">
        <v>3246</v>
      </c>
      <c r="N608" t="s">
        <v>393</v>
      </c>
    </row>
    <row r="609" spans="1:14" ht="11.25" customHeight="1">
      <c r="A609" t="s">
        <v>2191</v>
      </c>
      <c r="B609" t="s">
        <v>14</v>
      </c>
      <c r="C609" t="s">
        <v>3422</v>
      </c>
      <c r="D609" t="s">
        <v>3423</v>
      </c>
      <c r="E609" t="s">
        <v>3424</v>
      </c>
      <c r="F609" t="s">
        <v>3172</v>
      </c>
      <c r="G609" t="s">
        <v>17</v>
      </c>
      <c r="H609" t="s">
        <v>17</v>
      </c>
      <c r="I609" t="s">
        <v>2319</v>
      </c>
      <c r="J609" t="s">
        <v>17</v>
      </c>
      <c r="K609" t="s">
        <v>3239</v>
      </c>
      <c r="L609" t="s">
        <v>3340</v>
      </c>
      <c r="M609" t="s">
        <v>3425</v>
      </c>
      <c r="N609" t="s">
        <v>393</v>
      </c>
    </row>
    <row r="610" spans="1:14" ht="11.25" customHeight="1">
      <c r="A610" t="s">
        <v>2191</v>
      </c>
      <c r="B610" t="s">
        <v>14</v>
      </c>
      <c r="C610" t="s">
        <v>3422</v>
      </c>
      <c r="D610" t="s">
        <v>3423</v>
      </c>
      <c r="E610" t="s">
        <v>3424</v>
      </c>
      <c r="F610" t="s">
        <v>3172</v>
      </c>
      <c r="G610" t="s">
        <v>17</v>
      </c>
      <c r="H610" t="s">
        <v>17</v>
      </c>
      <c r="I610" t="s">
        <v>2319</v>
      </c>
      <c r="J610" t="s">
        <v>17</v>
      </c>
      <c r="K610" t="s">
        <v>3247</v>
      </c>
      <c r="L610" t="s">
        <v>3340</v>
      </c>
      <c r="M610" t="s">
        <v>3425</v>
      </c>
      <c r="N610" t="s">
        <v>393</v>
      </c>
    </row>
    <row r="611" spans="1:14" ht="11.25" customHeight="1">
      <c r="A611" t="s">
        <v>2191</v>
      </c>
      <c r="B611" t="s">
        <v>14</v>
      </c>
      <c r="C611" t="s">
        <v>2611</v>
      </c>
      <c r="D611" t="s">
        <v>2612</v>
      </c>
      <c r="E611" t="s">
        <v>2613</v>
      </c>
      <c r="F611" t="s">
        <v>2607</v>
      </c>
      <c r="G611" t="s">
        <v>17</v>
      </c>
      <c r="H611" t="s">
        <v>17</v>
      </c>
      <c r="I611" t="s">
        <v>2319</v>
      </c>
      <c r="J611" t="s">
        <v>17</v>
      </c>
      <c r="K611" t="s">
        <v>3239</v>
      </c>
      <c r="L611" t="s">
        <v>3245</v>
      </c>
      <c r="M611" t="s">
        <v>3246</v>
      </c>
      <c r="N611" t="s">
        <v>393</v>
      </c>
    </row>
    <row r="612" spans="1:14" ht="11.25" customHeight="1">
      <c r="A612" t="s">
        <v>2191</v>
      </c>
      <c r="B612" t="s">
        <v>14</v>
      </c>
      <c r="C612" t="s">
        <v>2611</v>
      </c>
      <c r="D612" t="s">
        <v>2612</v>
      </c>
      <c r="E612" t="s">
        <v>2613</v>
      </c>
      <c r="F612" t="s">
        <v>2607</v>
      </c>
      <c r="G612" t="s">
        <v>17</v>
      </c>
      <c r="H612" t="s">
        <v>17</v>
      </c>
      <c r="I612" t="s">
        <v>2319</v>
      </c>
      <c r="J612" t="s">
        <v>17</v>
      </c>
      <c r="K612" t="s">
        <v>3247</v>
      </c>
      <c r="L612" t="s">
        <v>3245</v>
      </c>
      <c r="M612" t="s">
        <v>3246</v>
      </c>
      <c r="N612" t="s">
        <v>393</v>
      </c>
    </row>
    <row r="613" spans="1:14" ht="11.25" customHeight="1">
      <c r="A613" t="s">
        <v>2191</v>
      </c>
      <c r="B613" t="s">
        <v>14</v>
      </c>
      <c r="C613" t="s">
        <v>2614</v>
      </c>
      <c r="D613" t="s">
        <v>2615</v>
      </c>
      <c r="E613" t="s">
        <v>2616</v>
      </c>
      <c r="F613" t="s">
        <v>2590</v>
      </c>
      <c r="G613" t="s">
        <v>17</v>
      </c>
      <c r="H613" t="s">
        <v>17</v>
      </c>
      <c r="I613" t="s">
        <v>2235</v>
      </c>
      <c r="J613" t="s">
        <v>17</v>
      </c>
      <c r="K613" t="s">
        <v>3239</v>
      </c>
      <c r="L613" t="s">
        <v>3408</v>
      </c>
      <c r="M613" t="s">
        <v>3409</v>
      </c>
      <c r="N613" t="s">
        <v>393</v>
      </c>
    </row>
    <row r="614" spans="1:14" ht="11.25" customHeight="1">
      <c r="A614" t="s">
        <v>2191</v>
      </c>
      <c r="B614" t="s">
        <v>14</v>
      </c>
      <c r="C614" t="s">
        <v>2614</v>
      </c>
      <c r="D614" t="s">
        <v>2615</v>
      </c>
      <c r="E614" t="s">
        <v>2616</v>
      </c>
      <c r="F614" t="s">
        <v>2590</v>
      </c>
      <c r="G614" t="s">
        <v>17</v>
      </c>
      <c r="H614" t="s">
        <v>17</v>
      </c>
      <c r="I614" t="s">
        <v>2235</v>
      </c>
      <c r="J614" t="s">
        <v>17</v>
      </c>
      <c r="K614" t="s">
        <v>3247</v>
      </c>
      <c r="L614" t="s">
        <v>3408</v>
      </c>
      <c r="M614" t="s">
        <v>3409</v>
      </c>
      <c r="N614" t="s">
        <v>393</v>
      </c>
    </row>
    <row r="615" spans="1:14" ht="11.25" customHeight="1">
      <c r="A615" t="s">
        <v>2191</v>
      </c>
      <c r="B615" t="s">
        <v>14</v>
      </c>
      <c r="C615" t="s">
        <v>2617</v>
      </c>
      <c r="D615" t="s">
        <v>2618</v>
      </c>
      <c r="E615" t="s">
        <v>2619</v>
      </c>
      <c r="F615" t="s">
        <v>2234</v>
      </c>
      <c r="G615" t="s">
        <v>17</v>
      </c>
      <c r="H615" t="s">
        <v>17</v>
      </c>
      <c r="I615" t="s">
        <v>2235</v>
      </c>
      <c r="J615" t="s">
        <v>17</v>
      </c>
      <c r="K615" t="s">
        <v>3247</v>
      </c>
      <c r="L615" t="s">
        <v>3332</v>
      </c>
      <c r="M615" t="s">
        <v>3350</v>
      </c>
      <c r="N615" t="s">
        <v>393</v>
      </c>
    </row>
    <row r="616" spans="1:14" ht="11.25" customHeight="1">
      <c r="A616" t="s">
        <v>2191</v>
      </c>
      <c r="B616" t="s">
        <v>14</v>
      </c>
      <c r="C616" t="s">
        <v>2623</v>
      </c>
      <c r="D616" t="s">
        <v>2624</v>
      </c>
      <c r="E616" t="s">
        <v>2625</v>
      </c>
      <c r="F616" t="s">
        <v>2414</v>
      </c>
      <c r="G616" t="s">
        <v>17</v>
      </c>
      <c r="H616" t="s">
        <v>2626</v>
      </c>
      <c r="I616" t="s">
        <v>2319</v>
      </c>
      <c r="J616" t="s">
        <v>2626</v>
      </c>
      <c r="K616" t="s">
        <v>3239</v>
      </c>
      <c r="L616" t="s">
        <v>3245</v>
      </c>
      <c r="M616" t="s">
        <v>3246</v>
      </c>
      <c r="N616" t="s">
        <v>393</v>
      </c>
    </row>
    <row r="617" spans="1:14" ht="11.25" customHeight="1">
      <c r="A617" t="s">
        <v>2191</v>
      </c>
      <c r="B617" t="s">
        <v>14</v>
      </c>
      <c r="C617" t="s">
        <v>2623</v>
      </c>
      <c r="D617" t="s">
        <v>2624</v>
      </c>
      <c r="E617" t="s">
        <v>2625</v>
      </c>
      <c r="F617" t="s">
        <v>2414</v>
      </c>
      <c r="G617" t="s">
        <v>17</v>
      </c>
      <c r="H617" t="s">
        <v>2626</v>
      </c>
      <c r="I617" t="s">
        <v>2319</v>
      </c>
      <c r="J617" t="s">
        <v>2626</v>
      </c>
      <c r="K617" t="s">
        <v>3247</v>
      </c>
      <c r="L617" t="s">
        <v>3245</v>
      </c>
      <c r="M617" t="s">
        <v>3246</v>
      </c>
      <c r="N617" t="s">
        <v>393</v>
      </c>
    </row>
    <row r="618" spans="1:14" ht="11.25" customHeight="1">
      <c r="A618" t="s">
        <v>2191</v>
      </c>
      <c r="B618" t="s">
        <v>14</v>
      </c>
      <c r="C618" t="s">
        <v>3426</v>
      </c>
      <c r="D618" t="s">
        <v>3427</v>
      </c>
      <c r="E618" t="s">
        <v>3428</v>
      </c>
      <c r="F618" t="s">
        <v>2607</v>
      </c>
      <c r="G618" t="s">
        <v>17</v>
      </c>
      <c r="H618" t="s">
        <v>17</v>
      </c>
      <c r="I618" t="s">
        <v>2319</v>
      </c>
      <c r="J618" t="s">
        <v>17</v>
      </c>
      <c r="K618" t="s">
        <v>3239</v>
      </c>
      <c r="L618" t="s">
        <v>3245</v>
      </c>
      <c r="M618" t="s">
        <v>3246</v>
      </c>
      <c r="N618" t="s">
        <v>393</v>
      </c>
    </row>
    <row r="619" spans="1:14" ht="11.25" customHeight="1">
      <c r="A619" t="s">
        <v>2191</v>
      </c>
      <c r="B619" t="s">
        <v>14</v>
      </c>
      <c r="C619" t="s">
        <v>3426</v>
      </c>
      <c r="D619" t="s">
        <v>3427</v>
      </c>
      <c r="E619" t="s">
        <v>3428</v>
      </c>
      <c r="F619" t="s">
        <v>2607</v>
      </c>
      <c r="G619" t="s">
        <v>17</v>
      </c>
      <c r="H619" t="s">
        <v>17</v>
      </c>
      <c r="I619" t="s">
        <v>2319</v>
      </c>
      <c r="J619" t="s">
        <v>17</v>
      </c>
      <c r="K619" t="s">
        <v>3247</v>
      </c>
      <c r="L619" t="s">
        <v>3245</v>
      </c>
      <c r="M619" t="s">
        <v>3246</v>
      </c>
      <c r="N619" t="s">
        <v>393</v>
      </c>
    </row>
    <row r="620" spans="1:14" ht="11.25" customHeight="1">
      <c r="A620" t="s">
        <v>2191</v>
      </c>
      <c r="B620" t="s">
        <v>14</v>
      </c>
      <c r="C620" t="s">
        <v>3429</v>
      </c>
      <c r="D620" t="s">
        <v>3430</v>
      </c>
      <c r="E620" t="s">
        <v>3431</v>
      </c>
      <c r="F620" t="s">
        <v>2936</v>
      </c>
      <c r="G620" t="s">
        <v>3432</v>
      </c>
      <c r="H620" t="s">
        <v>17</v>
      </c>
      <c r="I620" t="s">
        <v>3432</v>
      </c>
      <c r="J620" t="s">
        <v>17</v>
      </c>
      <c r="K620" t="s">
        <v>3239</v>
      </c>
      <c r="L620" t="s">
        <v>3245</v>
      </c>
      <c r="M620" t="s">
        <v>3246</v>
      </c>
      <c r="N620" t="s">
        <v>393</v>
      </c>
    </row>
    <row r="621" spans="1:14" ht="11.25" customHeight="1">
      <c r="A621" t="s">
        <v>2191</v>
      </c>
      <c r="B621" t="s">
        <v>14</v>
      </c>
      <c r="C621" t="s">
        <v>3429</v>
      </c>
      <c r="D621" t="s">
        <v>3430</v>
      </c>
      <c r="E621" t="s">
        <v>3431</v>
      </c>
      <c r="F621" t="s">
        <v>2936</v>
      </c>
      <c r="G621" t="s">
        <v>3432</v>
      </c>
      <c r="H621" t="s">
        <v>17</v>
      </c>
      <c r="I621" t="s">
        <v>3432</v>
      </c>
      <c r="J621" t="s">
        <v>17</v>
      </c>
      <c r="K621" t="s">
        <v>3247</v>
      </c>
      <c r="L621" t="s">
        <v>3245</v>
      </c>
      <c r="M621" t="s">
        <v>3246</v>
      </c>
      <c r="N621" t="s">
        <v>393</v>
      </c>
    </row>
    <row r="622" spans="1:14" ht="11.25" customHeight="1">
      <c r="A622" t="s">
        <v>2191</v>
      </c>
      <c r="B622" t="s">
        <v>14</v>
      </c>
      <c r="C622" t="s">
        <v>2631</v>
      </c>
      <c r="D622" t="s">
        <v>2632</v>
      </c>
      <c r="E622" t="s">
        <v>2633</v>
      </c>
      <c r="F622" t="s">
        <v>2410</v>
      </c>
      <c r="G622" t="s">
        <v>17</v>
      </c>
      <c r="H622" t="s">
        <v>17</v>
      </c>
      <c r="I622" t="s">
        <v>2319</v>
      </c>
      <c r="J622" t="s">
        <v>17</v>
      </c>
      <c r="K622" t="s">
        <v>3239</v>
      </c>
      <c r="L622" t="s">
        <v>3245</v>
      </c>
      <c r="M622" t="s">
        <v>3246</v>
      </c>
      <c r="N622" t="s">
        <v>393</v>
      </c>
    </row>
    <row r="623" spans="1:14" ht="11.25" customHeight="1">
      <c r="A623" t="s">
        <v>2191</v>
      </c>
      <c r="B623" t="s">
        <v>14</v>
      </c>
      <c r="C623" t="s">
        <v>2631</v>
      </c>
      <c r="D623" t="s">
        <v>2632</v>
      </c>
      <c r="E623" t="s">
        <v>2633</v>
      </c>
      <c r="F623" t="s">
        <v>2410</v>
      </c>
      <c r="G623" t="s">
        <v>17</v>
      </c>
      <c r="H623" t="s">
        <v>17</v>
      </c>
      <c r="I623" t="s">
        <v>2319</v>
      </c>
      <c r="J623" t="s">
        <v>17</v>
      </c>
      <c r="K623" t="s">
        <v>3247</v>
      </c>
      <c r="L623" t="s">
        <v>3245</v>
      </c>
      <c r="M623" t="s">
        <v>3246</v>
      </c>
      <c r="N623" t="s">
        <v>393</v>
      </c>
    </row>
    <row r="624" spans="1:14" ht="11.25" customHeight="1">
      <c r="A624" t="s">
        <v>2191</v>
      </c>
      <c r="B624" t="s">
        <v>14</v>
      </c>
      <c r="C624" t="s">
        <v>3433</v>
      </c>
      <c r="D624" t="s">
        <v>3434</v>
      </c>
      <c r="E624" t="s">
        <v>3435</v>
      </c>
      <c r="F624" t="s">
        <v>2406</v>
      </c>
      <c r="G624" t="s">
        <v>17</v>
      </c>
      <c r="H624" t="s">
        <v>17</v>
      </c>
      <c r="I624" t="s">
        <v>2319</v>
      </c>
      <c r="J624" t="s">
        <v>17</v>
      </c>
      <c r="K624" t="s">
        <v>3239</v>
      </c>
      <c r="L624" t="s">
        <v>3245</v>
      </c>
      <c r="M624" t="s">
        <v>3246</v>
      </c>
      <c r="N624" t="s">
        <v>393</v>
      </c>
    </row>
    <row r="625" spans="1:14" ht="11.25" customHeight="1">
      <c r="A625" t="s">
        <v>2191</v>
      </c>
      <c r="B625" t="s">
        <v>14</v>
      </c>
      <c r="C625" t="s">
        <v>3433</v>
      </c>
      <c r="D625" t="s">
        <v>3434</v>
      </c>
      <c r="E625" t="s">
        <v>3435</v>
      </c>
      <c r="F625" t="s">
        <v>2406</v>
      </c>
      <c r="G625" t="s">
        <v>17</v>
      </c>
      <c r="H625" t="s">
        <v>17</v>
      </c>
      <c r="I625" t="s">
        <v>2319</v>
      </c>
      <c r="J625" t="s">
        <v>17</v>
      </c>
      <c r="K625" t="s">
        <v>3247</v>
      </c>
      <c r="L625" t="s">
        <v>3245</v>
      </c>
      <c r="M625" t="s">
        <v>3246</v>
      </c>
      <c r="N625" t="s">
        <v>393</v>
      </c>
    </row>
    <row r="626" spans="1:14" ht="11.25" customHeight="1">
      <c r="A626" t="s">
        <v>2191</v>
      </c>
      <c r="B626" t="s">
        <v>14</v>
      </c>
      <c r="C626" t="s">
        <v>3436</v>
      </c>
      <c r="D626" t="s">
        <v>3437</v>
      </c>
      <c r="E626" t="s">
        <v>3438</v>
      </c>
      <c r="F626" t="s">
        <v>2607</v>
      </c>
      <c r="G626" t="s">
        <v>17</v>
      </c>
      <c r="H626" t="s">
        <v>17</v>
      </c>
      <c r="I626" t="s">
        <v>2319</v>
      </c>
      <c r="J626" t="s">
        <v>17</v>
      </c>
      <c r="K626" t="s">
        <v>3239</v>
      </c>
      <c r="L626" t="s">
        <v>3245</v>
      </c>
      <c r="M626" t="s">
        <v>3246</v>
      </c>
      <c r="N626" t="s">
        <v>393</v>
      </c>
    </row>
    <row r="627" spans="1:14" ht="11.25" customHeight="1">
      <c r="A627" t="s">
        <v>2191</v>
      </c>
      <c r="B627" t="s">
        <v>14</v>
      </c>
      <c r="C627" t="s">
        <v>3436</v>
      </c>
      <c r="D627" t="s">
        <v>3437</v>
      </c>
      <c r="E627" t="s">
        <v>3438</v>
      </c>
      <c r="F627" t="s">
        <v>2607</v>
      </c>
      <c r="G627" t="s">
        <v>17</v>
      </c>
      <c r="H627" t="s">
        <v>17</v>
      </c>
      <c r="I627" t="s">
        <v>2319</v>
      </c>
      <c r="J627" t="s">
        <v>17</v>
      </c>
      <c r="K627" t="s">
        <v>3247</v>
      </c>
      <c r="L627" t="s">
        <v>3245</v>
      </c>
      <c r="M627" t="s">
        <v>3246</v>
      </c>
      <c r="N627" t="s">
        <v>393</v>
      </c>
    </row>
    <row r="628" spans="1:14" ht="11.25" customHeight="1">
      <c r="A628" t="s">
        <v>2191</v>
      </c>
      <c r="B628" t="s">
        <v>14</v>
      </c>
      <c r="C628" t="s">
        <v>2634</v>
      </c>
      <c r="D628" t="s">
        <v>2635</v>
      </c>
      <c r="E628" t="s">
        <v>2636</v>
      </c>
      <c r="F628" t="s">
        <v>2530</v>
      </c>
      <c r="G628" t="s">
        <v>17</v>
      </c>
      <c r="H628" t="s">
        <v>17</v>
      </c>
      <c r="I628" t="s">
        <v>2319</v>
      </c>
      <c r="J628" t="s">
        <v>17</v>
      </c>
      <c r="K628" t="s">
        <v>3239</v>
      </c>
      <c r="L628" t="s">
        <v>3245</v>
      </c>
      <c r="M628" t="s">
        <v>3246</v>
      </c>
      <c r="N628" t="s">
        <v>393</v>
      </c>
    </row>
    <row r="629" spans="1:14" ht="11.25" customHeight="1">
      <c r="A629" t="s">
        <v>2191</v>
      </c>
      <c r="B629" t="s">
        <v>14</v>
      </c>
      <c r="C629" t="s">
        <v>2634</v>
      </c>
      <c r="D629" t="s">
        <v>2635</v>
      </c>
      <c r="E629" t="s">
        <v>2636</v>
      </c>
      <c r="F629" t="s">
        <v>2530</v>
      </c>
      <c r="G629" t="s">
        <v>17</v>
      </c>
      <c r="H629" t="s">
        <v>17</v>
      </c>
      <c r="I629" t="s">
        <v>2319</v>
      </c>
      <c r="J629" t="s">
        <v>17</v>
      </c>
      <c r="K629" t="s">
        <v>3247</v>
      </c>
      <c r="L629" t="s">
        <v>3245</v>
      </c>
      <c r="M629" t="s">
        <v>3246</v>
      </c>
      <c r="N629" t="s">
        <v>393</v>
      </c>
    </row>
    <row r="630" spans="1:14" ht="11.25" customHeight="1">
      <c r="A630" t="s">
        <v>2191</v>
      </c>
      <c r="B630" t="s">
        <v>14</v>
      </c>
      <c r="C630" t="s">
        <v>2637</v>
      </c>
      <c r="D630" t="s">
        <v>2638</v>
      </c>
      <c r="E630" t="s">
        <v>2639</v>
      </c>
      <c r="F630" t="s">
        <v>2640</v>
      </c>
      <c r="G630" t="s">
        <v>17</v>
      </c>
      <c r="H630" t="s">
        <v>17</v>
      </c>
      <c r="I630" t="s">
        <v>2319</v>
      </c>
      <c r="J630" t="s">
        <v>17</v>
      </c>
      <c r="K630" t="s">
        <v>3239</v>
      </c>
      <c r="L630" t="s">
        <v>3245</v>
      </c>
      <c r="M630" t="s">
        <v>3246</v>
      </c>
      <c r="N630" t="s">
        <v>393</v>
      </c>
    </row>
    <row r="631" spans="1:14" ht="11.25" customHeight="1">
      <c r="A631" t="s">
        <v>2191</v>
      </c>
      <c r="B631" t="s">
        <v>14</v>
      </c>
      <c r="C631" t="s">
        <v>2637</v>
      </c>
      <c r="D631" t="s">
        <v>2638</v>
      </c>
      <c r="E631" t="s">
        <v>2639</v>
      </c>
      <c r="F631" t="s">
        <v>2640</v>
      </c>
      <c r="G631" t="s">
        <v>17</v>
      </c>
      <c r="H631" t="s">
        <v>17</v>
      </c>
      <c r="I631" t="s">
        <v>2319</v>
      </c>
      <c r="J631" t="s">
        <v>17</v>
      </c>
      <c r="K631" t="s">
        <v>3247</v>
      </c>
      <c r="L631" t="s">
        <v>3245</v>
      </c>
      <c r="M631" t="s">
        <v>3246</v>
      </c>
      <c r="N631" t="s">
        <v>393</v>
      </c>
    </row>
    <row r="632" spans="1:14" ht="11.25" customHeight="1">
      <c r="A632" t="s">
        <v>2191</v>
      </c>
      <c r="B632" t="s">
        <v>14</v>
      </c>
      <c r="C632" t="s">
        <v>2641</v>
      </c>
      <c r="D632" t="s">
        <v>2642</v>
      </c>
      <c r="E632" t="s">
        <v>2643</v>
      </c>
      <c r="F632" t="s">
        <v>2244</v>
      </c>
      <c r="G632" t="s">
        <v>17</v>
      </c>
      <c r="H632" t="s">
        <v>17</v>
      </c>
      <c r="I632" t="s">
        <v>2794</v>
      </c>
      <c r="J632" t="s">
        <v>17</v>
      </c>
      <c r="K632" t="s">
        <v>3239</v>
      </c>
      <c r="L632" t="s">
        <v>3340</v>
      </c>
      <c r="M632" t="s">
        <v>3425</v>
      </c>
      <c r="N632" t="s">
        <v>393</v>
      </c>
    </row>
    <row r="633" spans="1:14" ht="11.25" customHeight="1">
      <c r="A633" t="s">
        <v>2191</v>
      </c>
      <c r="B633" t="s">
        <v>14</v>
      </c>
      <c r="C633" t="s">
        <v>2641</v>
      </c>
      <c r="D633" t="s">
        <v>2642</v>
      </c>
      <c r="E633" t="s">
        <v>2643</v>
      </c>
      <c r="F633" t="s">
        <v>2244</v>
      </c>
      <c r="G633" t="s">
        <v>17</v>
      </c>
      <c r="H633" t="s">
        <v>17</v>
      </c>
      <c r="I633" t="s">
        <v>2794</v>
      </c>
      <c r="J633" t="s">
        <v>17</v>
      </c>
      <c r="K633" t="s">
        <v>3247</v>
      </c>
      <c r="L633" t="s">
        <v>3340</v>
      </c>
      <c r="M633" t="s">
        <v>3425</v>
      </c>
      <c r="N633" t="s">
        <v>393</v>
      </c>
    </row>
    <row r="634" spans="1:14" ht="11.25" customHeight="1">
      <c r="A634" t="s">
        <v>2191</v>
      </c>
      <c r="B634" t="s">
        <v>14</v>
      </c>
      <c r="C634" t="s">
        <v>2648</v>
      </c>
      <c r="D634" t="s">
        <v>2649</v>
      </c>
      <c r="E634" t="s">
        <v>2650</v>
      </c>
      <c r="F634" t="s">
        <v>2530</v>
      </c>
      <c r="G634" t="s">
        <v>17</v>
      </c>
      <c r="H634" t="s">
        <v>17</v>
      </c>
      <c r="I634" t="s">
        <v>2319</v>
      </c>
      <c r="J634" t="s">
        <v>17</v>
      </c>
      <c r="K634" t="s">
        <v>3239</v>
      </c>
      <c r="L634" t="s">
        <v>3245</v>
      </c>
      <c r="M634" t="s">
        <v>3246</v>
      </c>
      <c r="N634" t="s">
        <v>393</v>
      </c>
    </row>
    <row r="635" spans="1:14" ht="11.25" customHeight="1">
      <c r="A635" t="s">
        <v>2191</v>
      </c>
      <c r="B635" t="s">
        <v>14</v>
      </c>
      <c r="C635" t="s">
        <v>2648</v>
      </c>
      <c r="D635" t="s">
        <v>2649</v>
      </c>
      <c r="E635" t="s">
        <v>2650</v>
      </c>
      <c r="F635" t="s">
        <v>2530</v>
      </c>
      <c r="G635" t="s">
        <v>17</v>
      </c>
      <c r="H635" t="s">
        <v>17</v>
      </c>
      <c r="I635" t="s">
        <v>2319</v>
      </c>
      <c r="J635" t="s">
        <v>17</v>
      </c>
      <c r="K635" t="s">
        <v>3247</v>
      </c>
      <c r="L635" t="s">
        <v>3245</v>
      </c>
      <c r="M635" t="s">
        <v>3246</v>
      </c>
      <c r="N635" t="s">
        <v>393</v>
      </c>
    </row>
    <row r="636" spans="1:14" ht="11.25" customHeight="1">
      <c r="A636" t="s">
        <v>2191</v>
      </c>
      <c r="B636" t="s">
        <v>14</v>
      </c>
      <c r="C636" t="s">
        <v>3439</v>
      </c>
      <c r="D636" t="s">
        <v>3440</v>
      </c>
      <c r="E636" t="s">
        <v>3441</v>
      </c>
      <c r="F636" t="s">
        <v>2607</v>
      </c>
      <c r="G636" t="s">
        <v>17</v>
      </c>
      <c r="H636" t="s">
        <v>17</v>
      </c>
      <c r="I636" t="s">
        <v>2319</v>
      </c>
      <c r="J636" t="s">
        <v>17</v>
      </c>
      <c r="K636" t="s">
        <v>3239</v>
      </c>
      <c r="L636" t="s">
        <v>3245</v>
      </c>
      <c r="M636" t="s">
        <v>3246</v>
      </c>
      <c r="N636" t="s">
        <v>393</v>
      </c>
    </row>
    <row r="637" spans="1:14" ht="11.25" customHeight="1">
      <c r="A637" t="s">
        <v>2191</v>
      </c>
      <c r="B637" t="s">
        <v>14</v>
      </c>
      <c r="C637" t="s">
        <v>3439</v>
      </c>
      <c r="D637" t="s">
        <v>3440</v>
      </c>
      <c r="E637" t="s">
        <v>3441</v>
      </c>
      <c r="F637" t="s">
        <v>2607</v>
      </c>
      <c r="G637" t="s">
        <v>17</v>
      </c>
      <c r="H637" t="s">
        <v>17</v>
      </c>
      <c r="I637" t="s">
        <v>2319</v>
      </c>
      <c r="J637" t="s">
        <v>17</v>
      </c>
      <c r="K637" t="s">
        <v>3247</v>
      </c>
      <c r="L637" t="s">
        <v>3245</v>
      </c>
      <c r="M637" t="s">
        <v>3246</v>
      </c>
      <c r="N637" t="s">
        <v>393</v>
      </c>
    </row>
    <row r="638" spans="1:14" ht="11.25" customHeight="1">
      <c r="A638" t="s">
        <v>2191</v>
      </c>
      <c r="B638" t="s">
        <v>14</v>
      </c>
      <c r="C638" t="s">
        <v>2651</v>
      </c>
      <c r="D638" t="s">
        <v>2652</v>
      </c>
      <c r="E638" t="s">
        <v>2653</v>
      </c>
      <c r="F638" t="s">
        <v>2546</v>
      </c>
      <c r="G638" t="s">
        <v>17</v>
      </c>
      <c r="H638" t="s">
        <v>17</v>
      </c>
      <c r="I638" t="s">
        <v>2319</v>
      </c>
      <c r="J638" t="s">
        <v>17</v>
      </c>
      <c r="K638" t="s">
        <v>3239</v>
      </c>
      <c r="L638" t="s">
        <v>3245</v>
      </c>
      <c r="M638" t="s">
        <v>3246</v>
      </c>
      <c r="N638" t="s">
        <v>393</v>
      </c>
    </row>
    <row r="639" spans="1:14" ht="11.25" customHeight="1">
      <c r="A639" t="s">
        <v>2191</v>
      </c>
      <c r="B639" t="s">
        <v>14</v>
      </c>
      <c r="C639" t="s">
        <v>2651</v>
      </c>
      <c r="D639" t="s">
        <v>2652</v>
      </c>
      <c r="E639" t="s">
        <v>2653</v>
      </c>
      <c r="F639" t="s">
        <v>2546</v>
      </c>
      <c r="G639" t="s">
        <v>17</v>
      </c>
      <c r="H639" t="s">
        <v>17</v>
      </c>
      <c r="I639" t="s">
        <v>2319</v>
      </c>
      <c r="J639" t="s">
        <v>17</v>
      </c>
      <c r="K639" t="s">
        <v>3247</v>
      </c>
      <c r="L639" t="s">
        <v>3245</v>
      </c>
      <c r="M639" t="s">
        <v>3246</v>
      </c>
      <c r="N639" t="s">
        <v>393</v>
      </c>
    </row>
    <row r="640" spans="1:14" ht="11.25" customHeight="1">
      <c r="A640" t="s">
        <v>2191</v>
      </c>
      <c r="B640" t="s">
        <v>14</v>
      </c>
      <c r="C640" t="s">
        <v>2654</v>
      </c>
      <c r="D640" t="s">
        <v>2655</v>
      </c>
      <c r="E640" t="s">
        <v>2656</v>
      </c>
      <c r="F640" t="s">
        <v>2657</v>
      </c>
      <c r="G640" t="s">
        <v>17</v>
      </c>
      <c r="H640" t="s">
        <v>17</v>
      </c>
      <c r="I640" t="s">
        <v>2319</v>
      </c>
      <c r="J640" t="s">
        <v>17</v>
      </c>
      <c r="K640" t="s">
        <v>3239</v>
      </c>
      <c r="L640" t="s">
        <v>3245</v>
      </c>
      <c r="M640" t="s">
        <v>3246</v>
      </c>
      <c r="N640" t="s">
        <v>393</v>
      </c>
    </row>
    <row r="641" spans="1:14" ht="11.25" customHeight="1">
      <c r="A641" t="s">
        <v>2191</v>
      </c>
      <c r="B641" t="s">
        <v>14</v>
      </c>
      <c r="C641" t="s">
        <v>2654</v>
      </c>
      <c r="D641" t="s">
        <v>2655</v>
      </c>
      <c r="E641" t="s">
        <v>2656</v>
      </c>
      <c r="F641" t="s">
        <v>2657</v>
      </c>
      <c r="G641" t="s">
        <v>17</v>
      </c>
      <c r="H641" t="s">
        <v>17</v>
      </c>
      <c r="I641" t="s">
        <v>2319</v>
      </c>
      <c r="J641" t="s">
        <v>17</v>
      </c>
      <c r="K641" t="s">
        <v>3247</v>
      </c>
      <c r="L641" t="s">
        <v>3245</v>
      </c>
      <c r="M641" t="s">
        <v>3246</v>
      </c>
      <c r="N641" t="s">
        <v>393</v>
      </c>
    </row>
    <row r="642" spans="1:14" ht="11.25" customHeight="1">
      <c r="A642" t="s">
        <v>2191</v>
      </c>
      <c r="B642" t="s">
        <v>14</v>
      </c>
      <c r="C642" t="s">
        <v>3442</v>
      </c>
      <c r="D642" t="s">
        <v>3443</v>
      </c>
      <c r="E642" t="s">
        <v>3444</v>
      </c>
      <c r="F642" t="s">
        <v>2712</v>
      </c>
      <c r="G642" t="s">
        <v>17</v>
      </c>
      <c r="H642" t="s">
        <v>17</v>
      </c>
      <c r="I642" t="s">
        <v>2235</v>
      </c>
      <c r="J642" t="s">
        <v>17</v>
      </c>
      <c r="K642" t="s">
        <v>3239</v>
      </c>
      <c r="L642" t="s">
        <v>3245</v>
      </c>
      <c r="M642" t="s">
        <v>3246</v>
      </c>
      <c r="N642" t="s">
        <v>393</v>
      </c>
    </row>
    <row r="643" spans="1:14" ht="11.25" customHeight="1">
      <c r="A643" t="s">
        <v>2191</v>
      </c>
      <c r="B643" t="s">
        <v>14</v>
      </c>
      <c r="C643" t="s">
        <v>3442</v>
      </c>
      <c r="D643" t="s">
        <v>3443</v>
      </c>
      <c r="E643" t="s">
        <v>3444</v>
      </c>
      <c r="F643" t="s">
        <v>2712</v>
      </c>
      <c r="G643" t="s">
        <v>17</v>
      </c>
      <c r="H643" t="s">
        <v>17</v>
      </c>
      <c r="I643" t="s">
        <v>2235</v>
      </c>
      <c r="J643" t="s">
        <v>17</v>
      </c>
      <c r="K643" t="s">
        <v>3247</v>
      </c>
      <c r="L643" t="s">
        <v>3245</v>
      </c>
      <c r="M643" t="s">
        <v>3246</v>
      </c>
      <c r="N643" t="s">
        <v>393</v>
      </c>
    </row>
    <row r="644" spans="1:14" ht="11.25" customHeight="1">
      <c r="A644" t="s">
        <v>2191</v>
      </c>
      <c r="B644" t="s">
        <v>14</v>
      </c>
      <c r="C644" t="s">
        <v>3445</v>
      </c>
      <c r="D644" t="s">
        <v>3446</v>
      </c>
      <c r="E644" t="s">
        <v>3447</v>
      </c>
      <c r="F644" t="s">
        <v>2422</v>
      </c>
      <c r="G644" t="s">
        <v>17</v>
      </c>
      <c r="H644" t="s">
        <v>17</v>
      </c>
      <c r="I644" t="s">
        <v>2509</v>
      </c>
      <c r="J644" t="s">
        <v>17</v>
      </c>
      <c r="K644" t="s">
        <v>3239</v>
      </c>
      <c r="L644" t="s">
        <v>3332</v>
      </c>
      <c r="M644" t="s">
        <v>3333</v>
      </c>
      <c r="N644" t="s">
        <v>393</v>
      </c>
    </row>
    <row r="645" spans="1:14" ht="11.25" customHeight="1">
      <c r="A645" t="s">
        <v>2191</v>
      </c>
      <c r="B645" t="s">
        <v>14</v>
      </c>
      <c r="C645" t="s">
        <v>2658</v>
      </c>
      <c r="D645" t="s">
        <v>2659</v>
      </c>
      <c r="E645" t="s">
        <v>2660</v>
      </c>
      <c r="F645" t="s">
        <v>2661</v>
      </c>
      <c r="G645" t="s">
        <v>17</v>
      </c>
      <c r="H645" t="s">
        <v>17</v>
      </c>
      <c r="I645" t="s">
        <v>2319</v>
      </c>
      <c r="J645" t="s">
        <v>17</v>
      </c>
      <c r="K645" t="s">
        <v>3239</v>
      </c>
      <c r="L645" t="s">
        <v>3245</v>
      </c>
      <c r="M645" t="s">
        <v>3246</v>
      </c>
      <c r="N645" t="s">
        <v>393</v>
      </c>
    </row>
    <row r="646" spans="1:14" ht="11.25" customHeight="1">
      <c r="A646" t="s">
        <v>2191</v>
      </c>
      <c r="B646" t="s">
        <v>14</v>
      </c>
      <c r="C646" t="s">
        <v>2658</v>
      </c>
      <c r="D646" t="s">
        <v>2659</v>
      </c>
      <c r="E646" t="s">
        <v>2660</v>
      </c>
      <c r="F646" t="s">
        <v>2661</v>
      </c>
      <c r="G646" t="s">
        <v>17</v>
      </c>
      <c r="H646" t="s">
        <v>17</v>
      </c>
      <c r="I646" t="s">
        <v>2319</v>
      </c>
      <c r="J646" t="s">
        <v>17</v>
      </c>
      <c r="K646" t="s">
        <v>3247</v>
      </c>
      <c r="L646" t="s">
        <v>3245</v>
      </c>
      <c r="M646" t="s">
        <v>3246</v>
      </c>
      <c r="N646" t="s">
        <v>393</v>
      </c>
    </row>
    <row r="647" spans="1:14" ht="11.25" customHeight="1">
      <c r="A647" t="s">
        <v>2191</v>
      </c>
      <c r="B647" t="s">
        <v>14</v>
      </c>
      <c r="C647" t="s">
        <v>2662</v>
      </c>
      <c r="D647" t="s">
        <v>2663</v>
      </c>
      <c r="E647" t="s">
        <v>2664</v>
      </c>
      <c r="F647" t="s">
        <v>2253</v>
      </c>
      <c r="G647" t="s">
        <v>17</v>
      </c>
      <c r="H647" t="s">
        <v>17</v>
      </c>
      <c r="I647" t="s">
        <v>3448</v>
      </c>
      <c r="J647" t="s">
        <v>17</v>
      </c>
      <c r="K647" t="s">
        <v>3239</v>
      </c>
      <c r="L647" t="s">
        <v>3245</v>
      </c>
      <c r="M647" t="s">
        <v>3246</v>
      </c>
      <c r="N647" t="s">
        <v>393</v>
      </c>
    </row>
    <row r="648" spans="1:14" ht="11.25" customHeight="1">
      <c r="A648" t="s">
        <v>2191</v>
      </c>
      <c r="B648" t="s">
        <v>14</v>
      </c>
      <c r="C648" t="s">
        <v>2662</v>
      </c>
      <c r="D648" t="s">
        <v>2663</v>
      </c>
      <c r="E648" t="s">
        <v>2664</v>
      </c>
      <c r="F648" t="s">
        <v>2253</v>
      </c>
      <c r="G648" t="s">
        <v>17</v>
      </c>
      <c r="H648" t="s">
        <v>17</v>
      </c>
      <c r="I648" t="s">
        <v>3448</v>
      </c>
      <c r="J648" t="s">
        <v>17</v>
      </c>
      <c r="K648" t="s">
        <v>3247</v>
      </c>
      <c r="L648" t="s">
        <v>3245</v>
      </c>
      <c r="M648" t="s">
        <v>3246</v>
      </c>
      <c r="N648" t="s">
        <v>393</v>
      </c>
    </row>
    <row r="649" spans="1:14" ht="11.25" customHeight="1">
      <c r="A649" t="s">
        <v>2191</v>
      </c>
      <c r="B649" t="s">
        <v>14</v>
      </c>
      <c r="C649" t="s">
        <v>3449</v>
      </c>
      <c r="D649" t="s">
        <v>3450</v>
      </c>
      <c r="E649" t="s">
        <v>3451</v>
      </c>
      <c r="F649" t="s">
        <v>2451</v>
      </c>
      <c r="G649" t="s">
        <v>17</v>
      </c>
      <c r="H649" t="s">
        <v>17</v>
      </c>
      <c r="I649" t="s">
        <v>2319</v>
      </c>
      <c r="J649" t="s">
        <v>17</v>
      </c>
      <c r="K649" t="s">
        <v>3239</v>
      </c>
      <c r="L649" t="s">
        <v>3245</v>
      </c>
      <c r="M649" t="s">
        <v>3246</v>
      </c>
      <c r="N649" t="s">
        <v>393</v>
      </c>
    </row>
    <row r="650" spans="1:14" ht="11.25" customHeight="1">
      <c r="A650" t="s">
        <v>2191</v>
      </c>
      <c r="B650" t="s">
        <v>14</v>
      </c>
      <c r="C650" t="s">
        <v>3449</v>
      </c>
      <c r="D650" t="s">
        <v>3450</v>
      </c>
      <c r="E650" t="s">
        <v>3451</v>
      </c>
      <c r="F650" t="s">
        <v>2451</v>
      </c>
      <c r="G650" t="s">
        <v>17</v>
      </c>
      <c r="H650" t="s">
        <v>17</v>
      </c>
      <c r="I650" t="s">
        <v>2319</v>
      </c>
      <c r="J650" t="s">
        <v>17</v>
      </c>
      <c r="K650" t="s">
        <v>3247</v>
      </c>
      <c r="L650" t="s">
        <v>3245</v>
      </c>
      <c r="M650" t="s">
        <v>3246</v>
      </c>
      <c r="N650" t="s">
        <v>393</v>
      </c>
    </row>
    <row r="651" spans="1:14" ht="11.25" customHeight="1">
      <c r="A651" t="s">
        <v>2191</v>
      </c>
      <c r="B651" t="s">
        <v>14</v>
      </c>
      <c r="C651" t="s">
        <v>3452</v>
      </c>
      <c r="D651" t="s">
        <v>3453</v>
      </c>
      <c r="E651" t="s">
        <v>3454</v>
      </c>
      <c r="F651" t="s">
        <v>2414</v>
      </c>
      <c r="G651" t="s">
        <v>17</v>
      </c>
      <c r="H651" t="s">
        <v>17</v>
      </c>
      <c r="I651" t="s">
        <v>2319</v>
      </c>
      <c r="J651" t="s">
        <v>2319</v>
      </c>
      <c r="K651" t="s">
        <v>3239</v>
      </c>
      <c r="L651" t="s">
        <v>3332</v>
      </c>
      <c r="M651" t="s">
        <v>3333</v>
      </c>
      <c r="N651" t="s">
        <v>393</v>
      </c>
    </row>
    <row r="652" spans="1:14" ht="11.25" customHeight="1">
      <c r="A652" t="s">
        <v>2191</v>
      </c>
      <c r="B652" t="s">
        <v>14</v>
      </c>
      <c r="C652" t="s">
        <v>3452</v>
      </c>
      <c r="D652" t="s">
        <v>3453</v>
      </c>
      <c r="E652" t="s">
        <v>3454</v>
      </c>
      <c r="F652" t="s">
        <v>2414</v>
      </c>
      <c r="G652" t="s">
        <v>17</v>
      </c>
      <c r="H652" t="s">
        <v>17</v>
      </c>
      <c r="I652" t="s">
        <v>3455</v>
      </c>
      <c r="J652" t="s">
        <v>17</v>
      </c>
      <c r="K652" t="s">
        <v>3239</v>
      </c>
      <c r="L652" t="s">
        <v>3332</v>
      </c>
      <c r="M652" t="s">
        <v>3333</v>
      </c>
      <c r="N652" t="s">
        <v>393</v>
      </c>
    </row>
    <row r="653" spans="1:14" ht="11.25" customHeight="1">
      <c r="A653" t="s">
        <v>2191</v>
      </c>
      <c r="B653" t="s">
        <v>14</v>
      </c>
      <c r="C653" t="s">
        <v>2666</v>
      </c>
      <c r="D653" t="s">
        <v>2667</v>
      </c>
      <c r="E653" t="s">
        <v>2668</v>
      </c>
      <c r="F653" t="s">
        <v>2402</v>
      </c>
      <c r="G653" t="s">
        <v>17</v>
      </c>
      <c r="H653" t="s">
        <v>17</v>
      </c>
      <c r="I653" t="s">
        <v>2235</v>
      </c>
      <c r="J653" t="s">
        <v>17</v>
      </c>
      <c r="K653" t="s">
        <v>3239</v>
      </c>
      <c r="L653" t="s">
        <v>3245</v>
      </c>
      <c r="M653" t="s">
        <v>3246</v>
      </c>
      <c r="N653" t="s">
        <v>393</v>
      </c>
    </row>
    <row r="654" spans="1:14" ht="11.25" customHeight="1">
      <c r="A654" t="s">
        <v>2191</v>
      </c>
      <c r="B654" t="s">
        <v>14</v>
      </c>
      <c r="C654" t="s">
        <v>2666</v>
      </c>
      <c r="D654" t="s">
        <v>2667</v>
      </c>
      <c r="E654" t="s">
        <v>2668</v>
      </c>
      <c r="F654" t="s">
        <v>2402</v>
      </c>
      <c r="G654" t="s">
        <v>17</v>
      </c>
      <c r="H654" t="s">
        <v>17</v>
      </c>
      <c r="I654" t="s">
        <v>2235</v>
      </c>
      <c r="J654" t="s">
        <v>17</v>
      </c>
      <c r="K654" t="s">
        <v>3247</v>
      </c>
      <c r="L654" t="s">
        <v>3245</v>
      </c>
      <c r="M654" t="s">
        <v>3246</v>
      </c>
      <c r="N654" t="s">
        <v>393</v>
      </c>
    </row>
    <row r="655" spans="1:14" ht="11.25" customHeight="1">
      <c r="A655" t="s">
        <v>2191</v>
      </c>
      <c r="B655" t="s">
        <v>14</v>
      </c>
      <c r="C655" t="s">
        <v>2670</v>
      </c>
      <c r="D655" t="s">
        <v>2671</v>
      </c>
      <c r="E655" t="s">
        <v>2672</v>
      </c>
      <c r="F655" t="s">
        <v>2451</v>
      </c>
      <c r="G655" t="s">
        <v>2673</v>
      </c>
      <c r="H655" t="s">
        <v>17</v>
      </c>
      <c r="I655" t="s">
        <v>2319</v>
      </c>
      <c r="J655" t="s">
        <v>17</v>
      </c>
      <c r="K655" t="s">
        <v>3239</v>
      </c>
      <c r="L655" t="s">
        <v>3340</v>
      </c>
      <c r="M655" t="s">
        <v>3341</v>
      </c>
      <c r="N655" t="s">
        <v>393</v>
      </c>
    </row>
    <row r="656" spans="1:14" ht="11.25" customHeight="1">
      <c r="A656" t="s">
        <v>2191</v>
      </c>
      <c r="B656" t="s">
        <v>14</v>
      </c>
      <c r="C656" t="s">
        <v>2674</v>
      </c>
      <c r="D656" t="s">
        <v>2675</v>
      </c>
      <c r="E656" t="s">
        <v>2676</v>
      </c>
      <c r="F656" t="s">
        <v>2677</v>
      </c>
      <c r="G656" t="s">
        <v>17</v>
      </c>
      <c r="H656" t="s">
        <v>17</v>
      </c>
      <c r="I656" t="s">
        <v>2442</v>
      </c>
      <c r="J656" t="s">
        <v>17</v>
      </c>
      <c r="K656" t="s">
        <v>3239</v>
      </c>
      <c r="L656" t="s">
        <v>3245</v>
      </c>
      <c r="M656" t="s">
        <v>3246</v>
      </c>
      <c r="N656" t="s">
        <v>393</v>
      </c>
    </row>
    <row r="657" spans="1:14" ht="11.25" customHeight="1">
      <c r="A657" t="s">
        <v>2191</v>
      </c>
      <c r="B657" t="s">
        <v>14</v>
      </c>
      <c r="C657" t="s">
        <v>2674</v>
      </c>
      <c r="D657" t="s">
        <v>2675</v>
      </c>
      <c r="E657" t="s">
        <v>2676</v>
      </c>
      <c r="F657" t="s">
        <v>2677</v>
      </c>
      <c r="G657" t="s">
        <v>17</v>
      </c>
      <c r="H657" t="s">
        <v>17</v>
      </c>
      <c r="I657" t="s">
        <v>2442</v>
      </c>
      <c r="J657" t="s">
        <v>17</v>
      </c>
      <c r="K657" t="s">
        <v>3247</v>
      </c>
      <c r="L657" t="s">
        <v>3245</v>
      </c>
      <c r="M657" t="s">
        <v>3246</v>
      </c>
      <c r="N657" t="s">
        <v>393</v>
      </c>
    </row>
    <row r="658" spans="1:14" ht="11.25" customHeight="1">
      <c r="A658" t="s">
        <v>2191</v>
      </c>
      <c r="B658" t="s">
        <v>14</v>
      </c>
      <c r="C658" t="s">
        <v>2678</v>
      </c>
      <c r="D658" t="s">
        <v>2679</v>
      </c>
      <c r="E658" t="s">
        <v>2680</v>
      </c>
      <c r="F658" t="s">
        <v>2410</v>
      </c>
      <c r="G658" t="s">
        <v>17</v>
      </c>
      <c r="H658" t="s">
        <v>17</v>
      </c>
      <c r="I658" t="s">
        <v>2319</v>
      </c>
      <c r="J658" t="s">
        <v>17</v>
      </c>
      <c r="K658" t="s">
        <v>3239</v>
      </c>
      <c r="L658" t="s">
        <v>3340</v>
      </c>
      <c r="M658" t="s">
        <v>3363</v>
      </c>
      <c r="N658" t="s">
        <v>393</v>
      </c>
    </row>
    <row r="659" spans="1:14" ht="11.25" customHeight="1">
      <c r="A659" t="s">
        <v>2191</v>
      </c>
      <c r="B659" t="s">
        <v>14</v>
      </c>
      <c r="C659" t="s">
        <v>2678</v>
      </c>
      <c r="D659" t="s">
        <v>2679</v>
      </c>
      <c r="E659" t="s">
        <v>2680</v>
      </c>
      <c r="F659" t="s">
        <v>2410</v>
      </c>
      <c r="G659" t="s">
        <v>17</v>
      </c>
      <c r="H659" t="s">
        <v>17</v>
      </c>
      <c r="I659" t="s">
        <v>2319</v>
      </c>
      <c r="J659" t="s">
        <v>17</v>
      </c>
      <c r="K659" t="s">
        <v>3247</v>
      </c>
      <c r="L659" t="s">
        <v>3340</v>
      </c>
      <c r="M659" t="s">
        <v>3363</v>
      </c>
      <c r="N659" t="s">
        <v>393</v>
      </c>
    </row>
    <row r="660" spans="1:14" ht="11.25" customHeight="1">
      <c r="A660" t="s">
        <v>2191</v>
      </c>
      <c r="B660" t="s">
        <v>14</v>
      </c>
      <c r="C660" t="s">
        <v>2681</v>
      </c>
      <c r="D660" t="s">
        <v>2682</v>
      </c>
      <c r="E660" t="s">
        <v>2683</v>
      </c>
      <c r="F660" t="s">
        <v>2684</v>
      </c>
      <c r="G660" t="s">
        <v>17</v>
      </c>
      <c r="H660" t="s">
        <v>17</v>
      </c>
      <c r="I660" t="s">
        <v>2319</v>
      </c>
      <c r="J660" t="s">
        <v>17</v>
      </c>
      <c r="K660" t="s">
        <v>3239</v>
      </c>
      <c r="L660" t="s">
        <v>3245</v>
      </c>
      <c r="M660" t="s">
        <v>3246</v>
      </c>
      <c r="N660" t="s">
        <v>393</v>
      </c>
    </row>
    <row r="661" spans="1:14" ht="11.25" customHeight="1">
      <c r="A661" t="s">
        <v>2191</v>
      </c>
      <c r="B661" t="s">
        <v>14</v>
      </c>
      <c r="C661" t="s">
        <v>2681</v>
      </c>
      <c r="D661" t="s">
        <v>2682</v>
      </c>
      <c r="E661" t="s">
        <v>2683</v>
      </c>
      <c r="F661" t="s">
        <v>2684</v>
      </c>
      <c r="G661" t="s">
        <v>17</v>
      </c>
      <c r="H661" t="s">
        <v>17</v>
      </c>
      <c r="I661" t="s">
        <v>2319</v>
      </c>
      <c r="J661" t="s">
        <v>17</v>
      </c>
      <c r="K661" t="s">
        <v>3247</v>
      </c>
      <c r="L661" t="s">
        <v>3245</v>
      </c>
      <c r="M661" t="s">
        <v>3246</v>
      </c>
      <c r="N661" t="s">
        <v>393</v>
      </c>
    </row>
    <row r="662" spans="1:14" ht="11.25" customHeight="1">
      <c r="A662" t="s">
        <v>2191</v>
      </c>
      <c r="B662" t="s">
        <v>14</v>
      </c>
      <c r="C662" t="s">
        <v>2685</v>
      </c>
      <c r="D662" t="s">
        <v>2686</v>
      </c>
      <c r="E662" t="s">
        <v>2687</v>
      </c>
      <c r="F662" t="s">
        <v>2447</v>
      </c>
      <c r="G662" t="s">
        <v>17</v>
      </c>
      <c r="H662" t="s">
        <v>17</v>
      </c>
      <c r="I662" t="s">
        <v>2319</v>
      </c>
      <c r="J662" t="s">
        <v>17</v>
      </c>
      <c r="K662" t="s">
        <v>3239</v>
      </c>
      <c r="L662" t="s">
        <v>3245</v>
      </c>
      <c r="M662" t="s">
        <v>3246</v>
      </c>
      <c r="N662" t="s">
        <v>393</v>
      </c>
    </row>
    <row r="663" spans="1:14" ht="11.25" customHeight="1">
      <c r="A663" t="s">
        <v>2191</v>
      </c>
      <c r="B663" t="s">
        <v>14</v>
      </c>
      <c r="C663" t="s">
        <v>2685</v>
      </c>
      <c r="D663" t="s">
        <v>2686</v>
      </c>
      <c r="E663" t="s">
        <v>2687</v>
      </c>
      <c r="F663" t="s">
        <v>2447</v>
      </c>
      <c r="G663" t="s">
        <v>17</v>
      </c>
      <c r="H663" t="s">
        <v>17</v>
      </c>
      <c r="I663" t="s">
        <v>2319</v>
      </c>
      <c r="J663" t="s">
        <v>17</v>
      </c>
      <c r="K663" t="s">
        <v>3247</v>
      </c>
      <c r="L663" t="s">
        <v>3245</v>
      </c>
      <c r="M663" t="s">
        <v>3246</v>
      </c>
      <c r="N663" t="s">
        <v>393</v>
      </c>
    </row>
    <row r="664" spans="1:14" ht="11.25" customHeight="1">
      <c r="A664" t="s">
        <v>2191</v>
      </c>
      <c r="B664" t="s">
        <v>14</v>
      </c>
      <c r="C664" t="s">
        <v>2688</v>
      </c>
      <c r="D664" t="s">
        <v>2689</v>
      </c>
      <c r="E664" t="s">
        <v>2690</v>
      </c>
      <c r="F664" t="s">
        <v>2691</v>
      </c>
      <c r="G664" t="s">
        <v>17</v>
      </c>
      <c r="H664" t="s">
        <v>17</v>
      </c>
      <c r="I664" t="s">
        <v>2319</v>
      </c>
      <c r="J664" t="s">
        <v>17</v>
      </c>
      <c r="K664" t="s">
        <v>3239</v>
      </c>
      <c r="L664" t="s">
        <v>3245</v>
      </c>
      <c r="M664" t="s">
        <v>3246</v>
      </c>
      <c r="N664" t="s">
        <v>393</v>
      </c>
    </row>
    <row r="665" spans="1:14" ht="11.25" customHeight="1">
      <c r="A665" t="s">
        <v>2191</v>
      </c>
      <c r="B665" t="s">
        <v>14</v>
      </c>
      <c r="C665" t="s">
        <v>2688</v>
      </c>
      <c r="D665" t="s">
        <v>2689</v>
      </c>
      <c r="E665" t="s">
        <v>2690</v>
      </c>
      <c r="F665" t="s">
        <v>2691</v>
      </c>
      <c r="G665" t="s">
        <v>17</v>
      </c>
      <c r="H665" t="s">
        <v>17</v>
      </c>
      <c r="I665" t="s">
        <v>2319</v>
      </c>
      <c r="J665" t="s">
        <v>17</v>
      </c>
      <c r="K665" t="s">
        <v>3247</v>
      </c>
      <c r="L665" t="s">
        <v>3245</v>
      </c>
      <c r="M665" t="s">
        <v>3246</v>
      </c>
      <c r="N665" t="s">
        <v>393</v>
      </c>
    </row>
    <row r="666" spans="1:14" ht="11.25" customHeight="1">
      <c r="A666" t="s">
        <v>2191</v>
      </c>
      <c r="B666" t="s">
        <v>14</v>
      </c>
      <c r="C666" t="s">
        <v>2692</v>
      </c>
      <c r="D666" t="s">
        <v>2693</v>
      </c>
      <c r="E666" t="s">
        <v>2694</v>
      </c>
      <c r="F666" t="s">
        <v>2414</v>
      </c>
      <c r="G666" t="s">
        <v>2695</v>
      </c>
      <c r="H666" t="s">
        <v>17</v>
      </c>
      <c r="I666" t="s">
        <v>2319</v>
      </c>
      <c r="J666" t="s">
        <v>17</v>
      </c>
      <c r="K666" t="s">
        <v>3239</v>
      </c>
      <c r="L666" t="s">
        <v>3245</v>
      </c>
      <c r="M666" t="s">
        <v>3246</v>
      </c>
      <c r="N666" t="s">
        <v>393</v>
      </c>
    </row>
    <row r="667" spans="1:14" ht="11.25" customHeight="1">
      <c r="A667" t="s">
        <v>2191</v>
      </c>
      <c r="B667" t="s">
        <v>14</v>
      </c>
      <c r="C667" t="s">
        <v>2692</v>
      </c>
      <c r="D667" t="s">
        <v>2693</v>
      </c>
      <c r="E667" t="s">
        <v>2694</v>
      </c>
      <c r="F667" t="s">
        <v>2414</v>
      </c>
      <c r="G667" t="s">
        <v>2695</v>
      </c>
      <c r="H667" t="s">
        <v>17</v>
      </c>
      <c r="I667" t="s">
        <v>2319</v>
      </c>
      <c r="J667" t="s">
        <v>17</v>
      </c>
      <c r="K667" t="s">
        <v>3247</v>
      </c>
      <c r="L667" t="s">
        <v>3245</v>
      </c>
      <c r="M667" t="s">
        <v>3246</v>
      </c>
      <c r="N667" t="s">
        <v>393</v>
      </c>
    </row>
    <row r="668" spans="1:14" ht="11.25" customHeight="1">
      <c r="A668" t="s">
        <v>2191</v>
      </c>
      <c r="B668" t="s">
        <v>14</v>
      </c>
      <c r="C668" t="s">
        <v>2696</v>
      </c>
      <c r="D668" t="s">
        <v>2697</v>
      </c>
      <c r="E668" t="s">
        <v>2698</v>
      </c>
      <c r="F668" t="s">
        <v>2414</v>
      </c>
      <c r="G668" t="s">
        <v>17</v>
      </c>
      <c r="H668" t="s">
        <v>17</v>
      </c>
      <c r="I668" t="s">
        <v>2319</v>
      </c>
      <c r="J668" t="s">
        <v>3456</v>
      </c>
      <c r="K668" t="s">
        <v>3239</v>
      </c>
      <c r="L668" t="s">
        <v>3245</v>
      </c>
      <c r="M668" t="s">
        <v>3246</v>
      </c>
      <c r="N668" t="s">
        <v>393</v>
      </c>
    </row>
    <row r="669" spans="1:14" ht="11.25" customHeight="1">
      <c r="A669" t="s">
        <v>2191</v>
      </c>
      <c r="B669" t="s">
        <v>14</v>
      </c>
      <c r="C669" t="s">
        <v>2696</v>
      </c>
      <c r="D669" t="s">
        <v>2697</v>
      </c>
      <c r="E669" t="s">
        <v>2698</v>
      </c>
      <c r="F669" t="s">
        <v>2414</v>
      </c>
      <c r="G669" t="s">
        <v>17</v>
      </c>
      <c r="H669" t="s">
        <v>17</v>
      </c>
      <c r="I669" t="s">
        <v>2319</v>
      </c>
      <c r="J669" t="s">
        <v>3456</v>
      </c>
      <c r="K669" t="s">
        <v>3247</v>
      </c>
      <c r="L669" t="s">
        <v>3245</v>
      </c>
      <c r="M669" t="s">
        <v>3246</v>
      </c>
      <c r="N669" t="s">
        <v>393</v>
      </c>
    </row>
    <row r="670" spans="1:14" ht="11.25" customHeight="1">
      <c r="A670" t="s">
        <v>2191</v>
      </c>
      <c r="B670" t="s">
        <v>14</v>
      </c>
      <c r="C670" t="s">
        <v>2699</v>
      </c>
      <c r="D670" t="s">
        <v>2700</v>
      </c>
      <c r="E670" t="s">
        <v>2701</v>
      </c>
      <c r="F670" t="s">
        <v>2702</v>
      </c>
      <c r="G670" t="s">
        <v>17</v>
      </c>
      <c r="H670" t="s">
        <v>17</v>
      </c>
      <c r="I670" t="s">
        <v>2319</v>
      </c>
      <c r="J670" t="s">
        <v>17</v>
      </c>
      <c r="K670" t="s">
        <v>3239</v>
      </c>
      <c r="L670" t="s">
        <v>3245</v>
      </c>
      <c r="M670" t="s">
        <v>3246</v>
      </c>
      <c r="N670" t="s">
        <v>393</v>
      </c>
    </row>
    <row r="671" spans="1:14" ht="11.25" customHeight="1">
      <c r="A671" t="s">
        <v>2191</v>
      </c>
      <c r="B671" t="s">
        <v>14</v>
      </c>
      <c r="C671" t="s">
        <v>2699</v>
      </c>
      <c r="D671" t="s">
        <v>2700</v>
      </c>
      <c r="E671" t="s">
        <v>2701</v>
      </c>
      <c r="F671" t="s">
        <v>2702</v>
      </c>
      <c r="G671" t="s">
        <v>17</v>
      </c>
      <c r="H671" t="s">
        <v>17</v>
      </c>
      <c r="I671" t="s">
        <v>2319</v>
      </c>
      <c r="J671" t="s">
        <v>17</v>
      </c>
      <c r="K671" t="s">
        <v>3247</v>
      </c>
      <c r="L671" t="s">
        <v>3245</v>
      </c>
      <c r="M671" t="s">
        <v>3246</v>
      </c>
      <c r="N671" t="s">
        <v>393</v>
      </c>
    </row>
    <row r="672" spans="1:14" ht="11.25" customHeight="1">
      <c r="A672" t="s">
        <v>2191</v>
      </c>
      <c r="B672" t="s">
        <v>14</v>
      </c>
      <c r="C672" t="s">
        <v>2703</v>
      </c>
      <c r="D672" t="s">
        <v>2704</v>
      </c>
      <c r="E672" t="s">
        <v>2705</v>
      </c>
      <c r="F672" t="s">
        <v>2530</v>
      </c>
      <c r="G672" t="s">
        <v>17</v>
      </c>
      <c r="H672" t="s">
        <v>17</v>
      </c>
      <c r="I672" t="s">
        <v>2319</v>
      </c>
      <c r="J672" t="s">
        <v>17</v>
      </c>
      <c r="K672" t="s">
        <v>3239</v>
      </c>
      <c r="L672" t="s">
        <v>3245</v>
      </c>
      <c r="M672" t="s">
        <v>3246</v>
      </c>
      <c r="N672" t="s">
        <v>393</v>
      </c>
    </row>
    <row r="673" spans="1:14" ht="11.25" customHeight="1">
      <c r="A673" t="s">
        <v>2191</v>
      </c>
      <c r="B673" t="s">
        <v>14</v>
      </c>
      <c r="C673" t="s">
        <v>2703</v>
      </c>
      <c r="D673" t="s">
        <v>2704</v>
      </c>
      <c r="E673" t="s">
        <v>2705</v>
      </c>
      <c r="F673" t="s">
        <v>2530</v>
      </c>
      <c r="G673" t="s">
        <v>17</v>
      </c>
      <c r="H673" t="s">
        <v>17</v>
      </c>
      <c r="I673" t="s">
        <v>2319</v>
      </c>
      <c r="J673" t="s">
        <v>17</v>
      </c>
      <c r="K673" t="s">
        <v>3247</v>
      </c>
      <c r="L673" t="s">
        <v>3245</v>
      </c>
      <c r="M673" t="s">
        <v>3246</v>
      </c>
      <c r="N673" t="s">
        <v>393</v>
      </c>
    </row>
    <row r="674" spans="1:14" ht="11.25" customHeight="1">
      <c r="A674" t="s">
        <v>2191</v>
      </c>
      <c r="B674" t="s">
        <v>14</v>
      </c>
      <c r="C674" t="s">
        <v>3457</v>
      </c>
      <c r="D674" t="s">
        <v>3458</v>
      </c>
      <c r="E674" t="s">
        <v>3459</v>
      </c>
      <c r="F674" t="s">
        <v>2447</v>
      </c>
      <c r="G674" t="s">
        <v>3460</v>
      </c>
      <c r="H674" t="s">
        <v>17</v>
      </c>
      <c r="I674" t="s">
        <v>2319</v>
      </c>
      <c r="J674" t="s">
        <v>17</v>
      </c>
      <c r="K674" t="s">
        <v>3239</v>
      </c>
      <c r="L674" t="s">
        <v>3245</v>
      </c>
      <c r="M674" t="s">
        <v>3246</v>
      </c>
      <c r="N674" t="s">
        <v>393</v>
      </c>
    </row>
    <row r="675" spans="1:14" ht="11.25" customHeight="1">
      <c r="A675" t="s">
        <v>2191</v>
      </c>
      <c r="B675" t="s">
        <v>14</v>
      </c>
      <c r="C675" t="s">
        <v>3457</v>
      </c>
      <c r="D675" t="s">
        <v>3458</v>
      </c>
      <c r="E675" t="s">
        <v>3459</v>
      </c>
      <c r="F675" t="s">
        <v>2447</v>
      </c>
      <c r="G675" t="s">
        <v>3460</v>
      </c>
      <c r="H675" t="s">
        <v>17</v>
      </c>
      <c r="I675" t="s">
        <v>2319</v>
      </c>
      <c r="J675" t="s">
        <v>17</v>
      </c>
      <c r="K675" t="s">
        <v>3247</v>
      </c>
      <c r="L675" t="s">
        <v>3245</v>
      </c>
      <c r="M675" t="s">
        <v>3246</v>
      </c>
      <c r="N675" t="s">
        <v>393</v>
      </c>
    </row>
    <row r="676" spans="1:14" ht="11.25" customHeight="1">
      <c r="A676" t="s">
        <v>2191</v>
      </c>
      <c r="B676" t="s">
        <v>14</v>
      </c>
      <c r="C676" t="s">
        <v>2706</v>
      </c>
      <c r="D676" t="s">
        <v>2707</v>
      </c>
      <c r="E676" t="s">
        <v>2708</v>
      </c>
      <c r="F676" t="s">
        <v>2661</v>
      </c>
      <c r="G676" t="s">
        <v>17</v>
      </c>
      <c r="H676" t="s">
        <v>17</v>
      </c>
      <c r="I676" t="s">
        <v>2319</v>
      </c>
      <c r="J676" t="s">
        <v>17</v>
      </c>
      <c r="K676" t="s">
        <v>3239</v>
      </c>
      <c r="L676" t="s">
        <v>3245</v>
      </c>
      <c r="M676" t="s">
        <v>3246</v>
      </c>
      <c r="N676" t="s">
        <v>393</v>
      </c>
    </row>
    <row r="677" spans="1:14" ht="11.25" customHeight="1">
      <c r="A677" t="s">
        <v>2191</v>
      </c>
      <c r="B677" t="s">
        <v>14</v>
      </c>
      <c r="C677" t="s">
        <v>2706</v>
      </c>
      <c r="D677" t="s">
        <v>2707</v>
      </c>
      <c r="E677" t="s">
        <v>2708</v>
      </c>
      <c r="F677" t="s">
        <v>2661</v>
      </c>
      <c r="G677" t="s">
        <v>17</v>
      </c>
      <c r="H677" t="s">
        <v>17</v>
      </c>
      <c r="I677" t="s">
        <v>2319</v>
      </c>
      <c r="J677" t="s">
        <v>17</v>
      </c>
      <c r="K677" t="s">
        <v>3247</v>
      </c>
      <c r="L677" t="s">
        <v>3245</v>
      </c>
      <c r="M677" t="s">
        <v>3246</v>
      </c>
      <c r="N677" t="s">
        <v>393</v>
      </c>
    </row>
    <row r="678" spans="1:14" ht="11.25" customHeight="1">
      <c r="A678" t="s">
        <v>2191</v>
      </c>
      <c r="B678" t="s">
        <v>14</v>
      </c>
      <c r="C678" t="s">
        <v>2709</v>
      </c>
      <c r="D678" t="s">
        <v>2710</v>
      </c>
      <c r="E678" t="s">
        <v>2711</v>
      </c>
      <c r="F678" t="s">
        <v>2712</v>
      </c>
      <c r="G678" t="s">
        <v>17</v>
      </c>
      <c r="H678" t="s">
        <v>17</v>
      </c>
      <c r="I678" t="s">
        <v>2235</v>
      </c>
      <c r="J678" t="s">
        <v>17</v>
      </c>
      <c r="K678" t="s">
        <v>3239</v>
      </c>
      <c r="L678" t="s">
        <v>3245</v>
      </c>
      <c r="M678" t="s">
        <v>3246</v>
      </c>
      <c r="N678" t="s">
        <v>393</v>
      </c>
    </row>
    <row r="679" spans="1:14" ht="11.25" customHeight="1">
      <c r="A679" t="s">
        <v>2191</v>
      </c>
      <c r="B679" t="s">
        <v>14</v>
      </c>
      <c r="C679" t="s">
        <v>2709</v>
      </c>
      <c r="D679" t="s">
        <v>2710</v>
      </c>
      <c r="E679" t="s">
        <v>2711</v>
      </c>
      <c r="F679" t="s">
        <v>2712</v>
      </c>
      <c r="G679" t="s">
        <v>17</v>
      </c>
      <c r="H679" t="s">
        <v>17</v>
      </c>
      <c r="I679" t="s">
        <v>2235</v>
      </c>
      <c r="J679" t="s">
        <v>17</v>
      </c>
      <c r="K679" t="s">
        <v>3247</v>
      </c>
      <c r="L679" t="s">
        <v>3245</v>
      </c>
      <c r="M679" t="s">
        <v>3246</v>
      </c>
      <c r="N679" t="s">
        <v>393</v>
      </c>
    </row>
    <row r="680" spans="1:14" ht="11.25" customHeight="1">
      <c r="A680" t="s">
        <v>2191</v>
      </c>
      <c r="B680" t="s">
        <v>14</v>
      </c>
      <c r="C680" t="s">
        <v>3461</v>
      </c>
      <c r="D680" t="s">
        <v>3462</v>
      </c>
      <c r="E680" t="s">
        <v>3463</v>
      </c>
      <c r="F680" t="s">
        <v>2661</v>
      </c>
      <c r="G680" t="s">
        <v>17</v>
      </c>
      <c r="H680" t="s">
        <v>17</v>
      </c>
      <c r="I680" t="s">
        <v>2319</v>
      </c>
      <c r="J680" t="s">
        <v>17</v>
      </c>
      <c r="K680" t="s">
        <v>3239</v>
      </c>
      <c r="L680" t="s">
        <v>3245</v>
      </c>
      <c r="M680" t="s">
        <v>3246</v>
      </c>
      <c r="N680" t="s">
        <v>393</v>
      </c>
    </row>
    <row r="681" spans="1:14" ht="11.25" customHeight="1">
      <c r="A681" t="s">
        <v>2191</v>
      </c>
      <c r="B681" t="s">
        <v>14</v>
      </c>
      <c r="C681" t="s">
        <v>3461</v>
      </c>
      <c r="D681" t="s">
        <v>3462</v>
      </c>
      <c r="E681" t="s">
        <v>3463</v>
      </c>
      <c r="F681" t="s">
        <v>2661</v>
      </c>
      <c r="G681" t="s">
        <v>17</v>
      </c>
      <c r="H681" t="s">
        <v>17</v>
      </c>
      <c r="I681" t="s">
        <v>2319</v>
      </c>
      <c r="J681" t="s">
        <v>17</v>
      </c>
      <c r="K681" t="s">
        <v>3247</v>
      </c>
      <c r="L681" t="s">
        <v>3245</v>
      </c>
      <c r="M681" t="s">
        <v>3246</v>
      </c>
      <c r="N681" t="s">
        <v>393</v>
      </c>
    </row>
    <row r="682" spans="1:14" ht="11.25" customHeight="1">
      <c r="A682" t="s">
        <v>2191</v>
      </c>
      <c r="B682" t="s">
        <v>14</v>
      </c>
      <c r="C682" t="s">
        <v>2713</v>
      </c>
      <c r="D682" t="s">
        <v>2714</v>
      </c>
      <c r="E682" t="s">
        <v>2715</v>
      </c>
      <c r="F682" t="s">
        <v>2661</v>
      </c>
      <c r="G682" t="s">
        <v>17</v>
      </c>
      <c r="H682" t="s">
        <v>17</v>
      </c>
      <c r="I682" t="s">
        <v>2319</v>
      </c>
      <c r="J682" t="s">
        <v>17</v>
      </c>
      <c r="K682" t="s">
        <v>3239</v>
      </c>
      <c r="L682" t="s">
        <v>3245</v>
      </c>
      <c r="M682" t="s">
        <v>3246</v>
      </c>
      <c r="N682" t="s">
        <v>393</v>
      </c>
    </row>
    <row r="683" spans="1:14" ht="11.25" customHeight="1">
      <c r="A683" t="s">
        <v>2191</v>
      </c>
      <c r="B683" t="s">
        <v>14</v>
      </c>
      <c r="C683" t="s">
        <v>2713</v>
      </c>
      <c r="D683" t="s">
        <v>2714</v>
      </c>
      <c r="E683" t="s">
        <v>2715</v>
      </c>
      <c r="F683" t="s">
        <v>2661</v>
      </c>
      <c r="G683" t="s">
        <v>17</v>
      </c>
      <c r="H683" t="s">
        <v>17</v>
      </c>
      <c r="I683" t="s">
        <v>2319</v>
      </c>
      <c r="J683" t="s">
        <v>17</v>
      </c>
      <c r="K683" t="s">
        <v>3247</v>
      </c>
      <c r="L683" t="s">
        <v>3245</v>
      </c>
      <c r="M683" t="s">
        <v>3246</v>
      </c>
      <c r="N683" t="s">
        <v>393</v>
      </c>
    </row>
    <row r="684" spans="1:14" ht="11.25" customHeight="1">
      <c r="A684" t="s">
        <v>2191</v>
      </c>
      <c r="B684" t="s">
        <v>14</v>
      </c>
      <c r="C684" t="s">
        <v>3464</v>
      </c>
      <c r="D684" t="s">
        <v>3465</v>
      </c>
      <c r="E684" t="s">
        <v>3466</v>
      </c>
      <c r="F684" t="s">
        <v>2451</v>
      </c>
      <c r="G684" t="s">
        <v>3467</v>
      </c>
      <c r="H684" t="s">
        <v>17</v>
      </c>
      <c r="I684" t="s">
        <v>2319</v>
      </c>
      <c r="J684" t="s">
        <v>2319</v>
      </c>
      <c r="K684" t="s">
        <v>3239</v>
      </c>
      <c r="L684" t="s">
        <v>3245</v>
      </c>
      <c r="M684" t="s">
        <v>3246</v>
      </c>
      <c r="N684" t="s">
        <v>393</v>
      </c>
    </row>
    <row r="685" spans="1:14" ht="11.25" customHeight="1">
      <c r="A685" t="s">
        <v>2191</v>
      </c>
      <c r="B685" t="s">
        <v>14</v>
      </c>
      <c r="C685" t="s">
        <v>3464</v>
      </c>
      <c r="D685" t="s">
        <v>3465</v>
      </c>
      <c r="E685" t="s">
        <v>3466</v>
      </c>
      <c r="F685" t="s">
        <v>2451</v>
      </c>
      <c r="G685" t="s">
        <v>3467</v>
      </c>
      <c r="H685" t="s">
        <v>17</v>
      </c>
      <c r="I685" t="s">
        <v>2319</v>
      </c>
      <c r="J685" t="s">
        <v>2319</v>
      </c>
      <c r="K685" t="s">
        <v>3247</v>
      </c>
      <c r="L685" t="s">
        <v>3245</v>
      </c>
      <c r="M685" t="s">
        <v>3246</v>
      </c>
      <c r="N685" t="s">
        <v>393</v>
      </c>
    </row>
    <row r="686" spans="1:14" ht="11.25" customHeight="1">
      <c r="A686" t="s">
        <v>2191</v>
      </c>
      <c r="B686" t="s">
        <v>14</v>
      </c>
      <c r="C686" t="s">
        <v>3468</v>
      </c>
      <c r="D686" t="s">
        <v>3469</v>
      </c>
      <c r="E686" t="s">
        <v>3470</v>
      </c>
      <c r="F686" t="s">
        <v>2712</v>
      </c>
      <c r="G686" t="s">
        <v>17</v>
      </c>
      <c r="H686" t="s">
        <v>17</v>
      </c>
      <c r="I686" t="s">
        <v>2235</v>
      </c>
      <c r="J686" t="s">
        <v>17</v>
      </c>
      <c r="K686" t="s">
        <v>3239</v>
      </c>
      <c r="L686" t="s">
        <v>3245</v>
      </c>
      <c r="M686" t="s">
        <v>3246</v>
      </c>
      <c r="N686" t="s">
        <v>393</v>
      </c>
    </row>
    <row r="687" spans="1:14" ht="11.25" customHeight="1">
      <c r="A687" t="s">
        <v>2191</v>
      </c>
      <c r="B687" t="s">
        <v>14</v>
      </c>
      <c r="C687" t="s">
        <v>3468</v>
      </c>
      <c r="D687" t="s">
        <v>3469</v>
      </c>
      <c r="E687" t="s">
        <v>3470</v>
      </c>
      <c r="F687" t="s">
        <v>2712</v>
      </c>
      <c r="G687" t="s">
        <v>17</v>
      </c>
      <c r="H687" t="s">
        <v>17</v>
      </c>
      <c r="I687" t="s">
        <v>2235</v>
      </c>
      <c r="J687" t="s">
        <v>17</v>
      </c>
      <c r="K687" t="s">
        <v>3247</v>
      </c>
      <c r="L687" t="s">
        <v>3245</v>
      </c>
      <c r="M687" t="s">
        <v>3246</v>
      </c>
      <c r="N687" t="s">
        <v>393</v>
      </c>
    </row>
    <row r="688" spans="1:14" ht="11.25" customHeight="1">
      <c r="A688" t="s">
        <v>2191</v>
      </c>
      <c r="B688" t="s">
        <v>14</v>
      </c>
      <c r="C688" t="s">
        <v>3471</v>
      </c>
      <c r="D688" t="s">
        <v>3472</v>
      </c>
      <c r="E688" t="s">
        <v>3473</v>
      </c>
      <c r="F688" t="s">
        <v>2793</v>
      </c>
      <c r="G688" t="s">
        <v>17</v>
      </c>
      <c r="H688" t="s">
        <v>17</v>
      </c>
      <c r="I688" t="s">
        <v>2669</v>
      </c>
      <c r="J688" t="s">
        <v>17</v>
      </c>
      <c r="K688" t="s">
        <v>3239</v>
      </c>
      <c r="L688" t="s">
        <v>3474</v>
      </c>
      <c r="M688" t="s">
        <v>3475</v>
      </c>
      <c r="N688" t="s">
        <v>393</v>
      </c>
    </row>
    <row r="689" spans="1:14" ht="11.25" customHeight="1">
      <c r="A689" t="s">
        <v>2191</v>
      </c>
      <c r="B689" t="s">
        <v>14</v>
      </c>
      <c r="C689" t="s">
        <v>3471</v>
      </c>
      <c r="D689" t="s">
        <v>3472</v>
      </c>
      <c r="E689" t="s">
        <v>3473</v>
      </c>
      <c r="F689" t="s">
        <v>2793</v>
      </c>
      <c r="G689" t="s">
        <v>17</v>
      </c>
      <c r="H689" t="s">
        <v>17</v>
      </c>
      <c r="I689" t="s">
        <v>2669</v>
      </c>
      <c r="J689" t="s">
        <v>17</v>
      </c>
      <c r="K689" t="s">
        <v>3247</v>
      </c>
      <c r="L689" t="s">
        <v>3474</v>
      </c>
      <c r="M689" t="s">
        <v>3475</v>
      </c>
      <c r="N689" t="s">
        <v>393</v>
      </c>
    </row>
    <row r="690" spans="1:14" ht="11.25" customHeight="1">
      <c r="A690" t="s">
        <v>2191</v>
      </c>
      <c r="B690" t="s">
        <v>14</v>
      </c>
      <c r="C690" t="s">
        <v>3476</v>
      </c>
      <c r="D690" t="s">
        <v>3477</v>
      </c>
      <c r="E690" t="s">
        <v>3478</v>
      </c>
      <c r="F690" t="s">
        <v>2447</v>
      </c>
      <c r="G690" t="s">
        <v>3479</v>
      </c>
      <c r="H690" t="s">
        <v>17</v>
      </c>
      <c r="I690" t="s">
        <v>2319</v>
      </c>
      <c r="J690" t="s">
        <v>17</v>
      </c>
      <c r="K690" t="s">
        <v>3239</v>
      </c>
      <c r="L690" t="s">
        <v>3245</v>
      </c>
      <c r="M690" t="s">
        <v>3246</v>
      </c>
      <c r="N690" t="s">
        <v>393</v>
      </c>
    </row>
    <row r="691" spans="1:14" ht="11.25" customHeight="1">
      <c r="A691" t="s">
        <v>2191</v>
      </c>
      <c r="B691" t="s">
        <v>14</v>
      </c>
      <c r="C691" t="s">
        <v>3476</v>
      </c>
      <c r="D691" t="s">
        <v>3477</v>
      </c>
      <c r="E691" t="s">
        <v>3478</v>
      </c>
      <c r="F691" t="s">
        <v>2447</v>
      </c>
      <c r="G691" t="s">
        <v>3479</v>
      </c>
      <c r="H691" t="s">
        <v>17</v>
      </c>
      <c r="I691" t="s">
        <v>2319</v>
      </c>
      <c r="J691" t="s">
        <v>17</v>
      </c>
      <c r="K691" t="s">
        <v>3247</v>
      </c>
      <c r="L691" t="s">
        <v>3245</v>
      </c>
      <c r="M691" t="s">
        <v>3246</v>
      </c>
      <c r="N691" t="s">
        <v>393</v>
      </c>
    </row>
    <row r="692" spans="1:14" ht="11.25" customHeight="1">
      <c r="A692" t="s">
        <v>2191</v>
      </c>
      <c r="B692" t="s">
        <v>14</v>
      </c>
      <c r="C692" t="s">
        <v>3480</v>
      </c>
      <c r="D692" t="s">
        <v>3481</v>
      </c>
      <c r="E692" t="s">
        <v>3482</v>
      </c>
      <c r="F692" t="s">
        <v>2447</v>
      </c>
      <c r="G692" t="s">
        <v>17</v>
      </c>
      <c r="H692" t="s">
        <v>17</v>
      </c>
      <c r="I692" t="s">
        <v>2319</v>
      </c>
      <c r="J692" t="s">
        <v>17</v>
      </c>
      <c r="K692" t="s">
        <v>3239</v>
      </c>
      <c r="L692" t="s">
        <v>3245</v>
      </c>
      <c r="M692" t="s">
        <v>3246</v>
      </c>
      <c r="N692" t="s">
        <v>393</v>
      </c>
    </row>
    <row r="693" spans="1:14" ht="11.25" customHeight="1">
      <c r="A693" t="s">
        <v>2191</v>
      </c>
      <c r="B693" t="s">
        <v>14</v>
      </c>
      <c r="C693" t="s">
        <v>3480</v>
      </c>
      <c r="D693" t="s">
        <v>3481</v>
      </c>
      <c r="E693" t="s">
        <v>3482</v>
      </c>
      <c r="F693" t="s">
        <v>2447</v>
      </c>
      <c r="G693" t="s">
        <v>17</v>
      </c>
      <c r="H693" t="s">
        <v>17</v>
      </c>
      <c r="I693" t="s">
        <v>2319</v>
      </c>
      <c r="J693" t="s">
        <v>17</v>
      </c>
      <c r="K693" t="s">
        <v>3247</v>
      </c>
      <c r="L693" t="s">
        <v>3245</v>
      </c>
      <c r="M693" t="s">
        <v>3246</v>
      </c>
      <c r="N693" t="s">
        <v>393</v>
      </c>
    </row>
    <row r="694" spans="1:14" ht="11.25" customHeight="1">
      <c r="A694" t="s">
        <v>2191</v>
      </c>
      <c r="B694" t="s">
        <v>14</v>
      </c>
      <c r="C694" t="s">
        <v>3483</v>
      </c>
      <c r="D694" t="s">
        <v>3484</v>
      </c>
      <c r="E694" t="s">
        <v>3485</v>
      </c>
      <c r="F694" t="s">
        <v>2414</v>
      </c>
      <c r="G694" t="s">
        <v>17</v>
      </c>
      <c r="H694" t="s">
        <v>17</v>
      </c>
      <c r="I694" t="s">
        <v>2319</v>
      </c>
      <c r="J694" t="s">
        <v>17</v>
      </c>
      <c r="K694" t="s">
        <v>3239</v>
      </c>
      <c r="L694" t="s">
        <v>3486</v>
      </c>
      <c r="M694" t="s">
        <v>3487</v>
      </c>
      <c r="N694" t="s">
        <v>393</v>
      </c>
    </row>
    <row r="695" spans="1:14" ht="11.25" customHeight="1">
      <c r="A695" t="s">
        <v>2191</v>
      </c>
      <c r="B695" t="s">
        <v>14</v>
      </c>
      <c r="C695" t="s">
        <v>3483</v>
      </c>
      <c r="D695" t="s">
        <v>3484</v>
      </c>
      <c r="E695" t="s">
        <v>3485</v>
      </c>
      <c r="F695" t="s">
        <v>2414</v>
      </c>
      <c r="G695" t="s">
        <v>17</v>
      </c>
      <c r="H695" t="s">
        <v>17</v>
      </c>
      <c r="I695" t="s">
        <v>2319</v>
      </c>
      <c r="J695" t="s">
        <v>17</v>
      </c>
      <c r="K695" t="s">
        <v>3247</v>
      </c>
      <c r="L695" t="s">
        <v>3486</v>
      </c>
      <c r="M695" t="s">
        <v>3487</v>
      </c>
      <c r="N695" t="s">
        <v>393</v>
      </c>
    </row>
    <row r="696" spans="1:14" ht="11.25" customHeight="1">
      <c r="A696" t="s">
        <v>2191</v>
      </c>
      <c r="B696" t="s">
        <v>14</v>
      </c>
      <c r="C696" t="s">
        <v>3488</v>
      </c>
      <c r="D696" t="s">
        <v>3489</v>
      </c>
      <c r="E696" t="s">
        <v>3490</v>
      </c>
      <c r="F696" t="s">
        <v>2530</v>
      </c>
      <c r="G696" t="s">
        <v>17</v>
      </c>
      <c r="H696" t="s">
        <v>17</v>
      </c>
      <c r="I696" t="s">
        <v>2319</v>
      </c>
      <c r="J696" t="s">
        <v>17</v>
      </c>
      <c r="K696" t="s">
        <v>3239</v>
      </c>
      <c r="L696" t="s">
        <v>3240</v>
      </c>
      <c r="M696" t="s">
        <v>3241</v>
      </c>
      <c r="N696" t="s">
        <v>393</v>
      </c>
    </row>
    <row r="697" spans="1:14" ht="11.25" customHeight="1">
      <c r="A697" t="s">
        <v>2191</v>
      </c>
      <c r="B697" t="s">
        <v>14</v>
      </c>
      <c r="C697" t="s">
        <v>2753</v>
      </c>
      <c r="D697" t="s">
        <v>2754</v>
      </c>
      <c r="E697" t="s">
        <v>2755</v>
      </c>
      <c r="F697" t="s">
        <v>2756</v>
      </c>
      <c r="G697" t="s">
        <v>17</v>
      </c>
      <c r="H697" t="s">
        <v>17</v>
      </c>
      <c r="I697" t="s">
        <v>2319</v>
      </c>
      <c r="J697" t="s">
        <v>17</v>
      </c>
      <c r="K697" t="s">
        <v>3239</v>
      </c>
      <c r="L697" t="s">
        <v>3245</v>
      </c>
      <c r="M697" t="s">
        <v>3246</v>
      </c>
      <c r="N697" t="s">
        <v>393</v>
      </c>
    </row>
    <row r="698" spans="1:14" ht="11.25" customHeight="1">
      <c r="A698" t="s">
        <v>2191</v>
      </c>
      <c r="B698" t="s">
        <v>14</v>
      </c>
      <c r="C698" t="s">
        <v>2753</v>
      </c>
      <c r="D698" t="s">
        <v>2754</v>
      </c>
      <c r="E698" t="s">
        <v>2755</v>
      </c>
      <c r="F698" t="s">
        <v>2756</v>
      </c>
      <c r="G698" t="s">
        <v>17</v>
      </c>
      <c r="H698" t="s">
        <v>17</v>
      </c>
      <c r="I698" t="s">
        <v>2319</v>
      </c>
      <c r="J698" t="s">
        <v>17</v>
      </c>
      <c r="K698" t="s">
        <v>3247</v>
      </c>
      <c r="L698" t="s">
        <v>3245</v>
      </c>
      <c r="M698" t="s">
        <v>3246</v>
      </c>
      <c r="N698" t="s">
        <v>393</v>
      </c>
    </row>
    <row r="699" spans="1:14" ht="11.25" customHeight="1">
      <c r="A699" t="s">
        <v>2191</v>
      </c>
      <c r="B699" t="s">
        <v>14</v>
      </c>
      <c r="C699" t="s">
        <v>3491</v>
      </c>
      <c r="D699" t="s">
        <v>3492</v>
      </c>
      <c r="E699" t="s">
        <v>3493</v>
      </c>
      <c r="F699" t="s">
        <v>2207</v>
      </c>
      <c r="G699" t="s">
        <v>3494</v>
      </c>
      <c r="H699" t="s">
        <v>17</v>
      </c>
      <c r="I699" t="s">
        <v>2841</v>
      </c>
      <c r="J699" t="s">
        <v>17</v>
      </c>
      <c r="K699" t="s">
        <v>3239</v>
      </c>
      <c r="L699" t="s">
        <v>3245</v>
      </c>
      <c r="M699" t="s">
        <v>3246</v>
      </c>
      <c r="N699" t="s">
        <v>393</v>
      </c>
    </row>
    <row r="700" spans="1:14" ht="11.25" customHeight="1">
      <c r="A700" t="s">
        <v>2191</v>
      </c>
      <c r="B700" t="s">
        <v>14</v>
      </c>
      <c r="C700" t="s">
        <v>3491</v>
      </c>
      <c r="D700" t="s">
        <v>3492</v>
      </c>
      <c r="E700" t="s">
        <v>3493</v>
      </c>
      <c r="F700" t="s">
        <v>2207</v>
      </c>
      <c r="G700" t="s">
        <v>3494</v>
      </c>
      <c r="H700" t="s">
        <v>17</v>
      </c>
      <c r="I700" t="s">
        <v>2841</v>
      </c>
      <c r="J700" t="s">
        <v>17</v>
      </c>
      <c r="K700" t="s">
        <v>3247</v>
      </c>
      <c r="L700" t="s">
        <v>3245</v>
      </c>
      <c r="M700" t="s">
        <v>3246</v>
      </c>
      <c r="N700" t="s">
        <v>393</v>
      </c>
    </row>
    <row r="701" spans="1:14" ht="11.25" customHeight="1">
      <c r="A701" t="s">
        <v>2191</v>
      </c>
      <c r="B701" t="s">
        <v>14</v>
      </c>
      <c r="C701" t="s">
        <v>2763</v>
      </c>
      <c r="D701" t="s">
        <v>2764</v>
      </c>
      <c r="E701" t="s">
        <v>2765</v>
      </c>
      <c r="F701" t="s">
        <v>2280</v>
      </c>
      <c r="G701" t="s">
        <v>17</v>
      </c>
      <c r="H701" t="s">
        <v>17</v>
      </c>
      <c r="I701" t="s">
        <v>2196</v>
      </c>
      <c r="J701" t="s">
        <v>17</v>
      </c>
      <c r="K701" t="s">
        <v>3239</v>
      </c>
      <c r="L701" t="s">
        <v>3240</v>
      </c>
      <c r="M701" t="s">
        <v>3241</v>
      </c>
      <c r="N701" t="s">
        <v>393</v>
      </c>
    </row>
    <row r="702" spans="1:14" ht="11.25" customHeight="1">
      <c r="A702" t="s">
        <v>2191</v>
      </c>
      <c r="B702" t="s">
        <v>14</v>
      </c>
      <c r="C702" t="s">
        <v>3495</v>
      </c>
      <c r="D702" t="s">
        <v>3496</v>
      </c>
      <c r="E702" t="s">
        <v>3497</v>
      </c>
      <c r="F702" t="s">
        <v>2374</v>
      </c>
      <c r="G702" t="s">
        <v>17</v>
      </c>
      <c r="H702" t="s">
        <v>17</v>
      </c>
      <c r="I702" t="s">
        <v>3498</v>
      </c>
      <c r="J702" t="s">
        <v>17</v>
      </c>
      <c r="K702" t="s">
        <v>3239</v>
      </c>
      <c r="L702" t="s">
        <v>3245</v>
      </c>
      <c r="M702" t="s">
        <v>3246</v>
      </c>
      <c r="N702" t="s">
        <v>393</v>
      </c>
    </row>
    <row r="703" spans="1:14" ht="11.25" customHeight="1">
      <c r="A703" t="s">
        <v>2191</v>
      </c>
      <c r="B703" t="s">
        <v>14</v>
      </c>
      <c r="C703" t="s">
        <v>3495</v>
      </c>
      <c r="D703" t="s">
        <v>3496</v>
      </c>
      <c r="E703" t="s">
        <v>3497</v>
      </c>
      <c r="F703" t="s">
        <v>2374</v>
      </c>
      <c r="G703" t="s">
        <v>17</v>
      </c>
      <c r="H703" t="s">
        <v>17</v>
      </c>
      <c r="I703" t="s">
        <v>3498</v>
      </c>
      <c r="J703" t="s">
        <v>17</v>
      </c>
      <c r="K703" t="s">
        <v>3247</v>
      </c>
      <c r="L703" t="s">
        <v>3245</v>
      </c>
      <c r="M703" t="s">
        <v>3246</v>
      </c>
      <c r="N703" t="s">
        <v>393</v>
      </c>
    </row>
    <row r="704" spans="1:14" ht="11.25" customHeight="1">
      <c r="A704" t="s">
        <v>2191</v>
      </c>
      <c r="B704" t="s">
        <v>14</v>
      </c>
      <c r="C704" t="s">
        <v>3499</v>
      </c>
      <c r="D704" t="s">
        <v>3500</v>
      </c>
      <c r="E704" t="s">
        <v>3501</v>
      </c>
      <c r="F704" t="s">
        <v>3502</v>
      </c>
      <c r="G704" t="s">
        <v>17</v>
      </c>
      <c r="H704" t="s">
        <v>17</v>
      </c>
      <c r="I704" t="s">
        <v>2319</v>
      </c>
      <c r="J704" t="s">
        <v>2319</v>
      </c>
      <c r="K704" t="s">
        <v>3239</v>
      </c>
      <c r="L704" t="s">
        <v>3245</v>
      </c>
      <c r="M704" t="s">
        <v>3246</v>
      </c>
      <c r="N704" t="s">
        <v>393</v>
      </c>
    </row>
    <row r="705" spans="1:14" ht="11.25" customHeight="1">
      <c r="A705" t="s">
        <v>2191</v>
      </c>
      <c r="B705" t="s">
        <v>14</v>
      </c>
      <c r="C705" t="s">
        <v>3499</v>
      </c>
      <c r="D705" t="s">
        <v>3500</v>
      </c>
      <c r="E705" t="s">
        <v>3501</v>
      </c>
      <c r="F705" t="s">
        <v>3502</v>
      </c>
      <c r="G705" t="s">
        <v>17</v>
      </c>
      <c r="H705" t="s">
        <v>17</v>
      </c>
      <c r="I705" t="s">
        <v>2319</v>
      </c>
      <c r="J705" t="s">
        <v>2319</v>
      </c>
      <c r="K705" t="s">
        <v>3247</v>
      </c>
      <c r="L705" t="s">
        <v>3245</v>
      </c>
      <c r="M705" t="s">
        <v>3246</v>
      </c>
      <c r="N705" t="s">
        <v>393</v>
      </c>
    </row>
    <row r="706" spans="1:14" ht="11.25" customHeight="1">
      <c r="A706" t="s">
        <v>2191</v>
      </c>
      <c r="B706" t="s">
        <v>14</v>
      </c>
      <c r="C706" t="s">
        <v>3503</v>
      </c>
      <c r="D706" t="s">
        <v>3504</v>
      </c>
      <c r="E706" t="s">
        <v>3505</v>
      </c>
      <c r="F706" t="s">
        <v>2712</v>
      </c>
      <c r="G706" t="s">
        <v>17</v>
      </c>
      <c r="H706" t="s">
        <v>17</v>
      </c>
      <c r="I706" t="s">
        <v>3010</v>
      </c>
      <c r="J706" t="s">
        <v>17</v>
      </c>
      <c r="K706" t="s">
        <v>3239</v>
      </c>
      <c r="L706" t="s">
        <v>3340</v>
      </c>
      <c r="M706" t="s">
        <v>3341</v>
      </c>
      <c r="N706" t="s">
        <v>393</v>
      </c>
    </row>
    <row r="707" spans="1:14" ht="11.25" customHeight="1">
      <c r="A707" t="s">
        <v>2191</v>
      </c>
      <c r="B707" t="s">
        <v>14</v>
      </c>
      <c r="C707" t="s">
        <v>3506</v>
      </c>
      <c r="D707" t="s">
        <v>3507</v>
      </c>
      <c r="E707" t="s">
        <v>3508</v>
      </c>
      <c r="F707" t="s">
        <v>2447</v>
      </c>
      <c r="G707" t="s">
        <v>17</v>
      </c>
      <c r="H707" t="s">
        <v>17</v>
      </c>
      <c r="I707" t="s">
        <v>2319</v>
      </c>
      <c r="J707" t="s">
        <v>17</v>
      </c>
      <c r="K707" t="s">
        <v>3239</v>
      </c>
      <c r="L707" t="s">
        <v>3245</v>
      </c>
      <c r="M707" t="s">
        <v>3246</v>
      </c>
      <c r="N707" t="s">
        <v>393</v>
      </c>
    </row>
    <row r="708" spans="1:14" ht="11.25" customHeight="1">
      <c r="A708" t="s">
        <v>2191</v>
      </c>
      <c r="B708" t="s">
        <v>14</v>
      </c>
      <c r="C708" t="s">
        <v>3506</v>
      </c>
      <c r="D708" t="s">
        <v>3507</v>
      </c>
      <c r="E708" t="s">
        <v>3508</v>
      </c>
      <c r="F708" t="s">
        <v>2447</v>
      </c>
      <c r="G708" t="s">
        <v>17</v>
      </c>
      <c r="H708" t="s">
        <v>17</v>
      </c>
      <c r="I708" t="s">
        <v>2319</v>
      </c>
      <c r="J708" t="s">
        <v>17</v>
      </c>
      <c r="K708" t="s">
        <v>3247</v>
      </c>
      <c r="L708" t="s">
        <v>3245</v>
      </c>
      <c r="M708" t="s">
        <v>3246</v>
      </c>
      <c r="N708" t="s">
        <v>393</v>
      </c>
    </row>
    <row r="709" spans="1:14" ht="11.25" customHeight="1">
      <c r="A709" t="s">
        <v>2191</v>
      </c>
      <c r="B709" t="s">
        <v>14</v>
      </c>
      <c r="C709" t="s">
        <v>3509</v>
      </c>
      <c r="D709" t="s">
        <v>3510</v>
      </c>
      <c r="E709" t="s">
        <v>3511</v>
      </c>
      <c r="F709" t="s">
        <v>3172</v>
      </c>
      <c r="G709" t="s">
        <v>17</v>
      </c>
      <c r="H709" t="s">
        <v>3512</v>
      </c>
      <c r="I709" t="s">
        <v>2319</v>
      </c>
      <c r="J709" t="s">
        <v>3512</v>
      </c>
      <c r="K709" t="s">
        <v>3239</v>
      </c>
      <c r="L709" t="s">
        <v>3245</v>
      </c>
      <c r="M709" t="s">
        <v>3246</v>
      </c>
      <c r="N709" t="s">
        <v>393</v>
      </c>
    </row>
    <row r="710" spans="1:14" ht="11.25" customHeight="1">
      <c r="A710" t="s">
        <v>2191</v>
      </c>
      <c r="B710" t="s">
        <v>14</v>
      </c>
      <c r="C710" t="s">
        <v>3509</v>
      </c>
      <c r="D710" t="s">
        <v>3510</v>
      </c>
      <c r="E710" t="s">
        <v>3511</v>
      </c>
      <c r="F710" t="s">
        <v>3172</v>
      </c>
      <c r="G710" t="s">
        <v>17</v>
      </c>
      <c r="H710" t="s">
        <v>3512</v>
      </c>
      <c r="I710" t="s">
        <v>2319</v>
      </c>
      <c r="J710" t="s">
        <v>3512</v>
      </c>
      <c r="K710" t="s">
        <v>3247</v>
      </c>
      <c r="L710" t="s">
        <v>3245</v>
      </c>
      <c r="M710" t="s">
        <v>3246</v>
      </c>
      <c r="N710" t="s">
        <v>393</v>
      </c>
    </row>
    <row r="711" spans="1:14" ht="11.25" customHeight="1">
      <c r="A711" t="s">
        <v>2191</v>
      </c>
      <c r="B711" t="s">
        <v>14</v>
      </c>
      <c r="C711" t="s">
        <v>3513</v>
      </c>
      <c r="D711" t="s">
        <v>3510</v>
      </c>
      <c r="E711" t="s">
        <v>3514</v>
      </c>
      <c r="F711" t="s">
        <v>2217</v>
      </c>
      <c r="G711" t="s">
        <v>17</v>
      </c>
      <c r="H711" t="s">
        <v>17</v>
      </c>
      <c r="I711" t="s">
        <v>3515</v>
      </c>
      <c r="J711" t="s">
        <v>3516</v>
      </c>
      <c r="K711" t="s">
        <v>3239</v>
      </c>
      <c r="L711" t="s">
        <v>3245</v>
      </c>
      <c r="M711" t="s">
        <v>3246</v>
      </c>
      <c r="N711" t="s">
        <v>393</v>
      </c>
    </row>
    <row r="712" spans="1:14" ht="11.25" customHeight="1">
      <c r="A712" t="s">
        <v>2191</v>
      </c>
      <c r="B712" t="s">
        <v>14</v>
      </c>
      <c r="C712" t="s">
        <v>3513</v>
      </c>
      <c r="D712" t="s">
        <v>3510</v>
      </c>
      <c r="E712" t="s">
        <v>3514</v>
      </c>
      <c r="F712" t="s">
        <v>2217</v>
      </c>
      <c r="G712" t="s">
        <v>17</v>
      </c>
      <c r="H712" t="s">
        <v>17</v>
      </c>
      <c r="I712" t="s">
        <v>3515</v>
      </c>
      <c r="J712" t="s">
        <v>3516</v>
      </c>
      <c r="K712" t="s">
        <v>3247</v>
      </c>
      <c r="L712" t="s">
        <v>3245</v>
      </c>
      <c r="M712" t="s">
        <v>3246</v>
      </c>
      <c r="N712" t="s">
        <v>393</v>
      </c>
    </row>
    <row r="713" spans="1:14" ht="11.25" customHeight="1">
      <c r="A713" t="s">
        <v>2191</v>
      </c>
      <c r="B713" t="s">
        <v>14</v>
      </c>
      <c r="C713" t="s">
        <v>2809</v>
      </c>
      <c r="D713" t="s">
        <v>2810</v>
      </c>
      <c r="E713" t="s">
        <v>2811</v>
      </c>
      <c r="F713" t="s">
        <v>2812</v>
      </c>
      <c r="G713" t="s">
        <v>17</v>
      </c>
      <c r="H713" t="s">
        <v>17</v>
      </c>
      <c r="I713" t="s">
        <v>2319</v>
      </c>
      <c r="J713" t="s">
        <v>17</v>
      </c>
      <c r="K713" t="s">
        <v>3239</v>
      </c>
      <c r="L713" t="s">
        <v>3245</v>
      </c>
      <c r="M713" t="s">
        <v>3246</v>
      </c>
      <c r="N713" t="s">
        <v>393</v>
      </c>
    </row>
    <row r="714" spans="1:14" ht="11.25" customHeight="1">
      <c r="A714" t="s">
        <v>2191</v>
      </c>
      <c r="B714" t="s">
        <v>14</v>
      </c>
      <c r="C714" t="s">
        <v>2809</v>
      </c>
      <c r="D714" t="s">
        <v>2810</v>
      </c>
      <c r="E714" t="s">
        <v>2811</v>
      </c>
      <c r="F714" t="s">
        <v>2812</v>
      </c>
      <c r="G714" t="s">
        <v>17</v>
      </c>
      <c r="H714" t="s">
        <v>17</v>
      </c>
      <c r="I714" t="s">
        <v>2319</v>
      </c>
      <c r="J714" t="s">
        <v>17</v>
      </c>
      <c r="K714" t="s">
        <v>3247</v>
      </c>
      <c r="L714" t="s">
        <v>3245</v>
      </c>
      <c r="M714" t="s">
        <v>3246</v>
      </c>
      <c r="N714" t="s">
        <v>393</v>
      </c>
    </row>
    <row r="715" spans="1:14" ht="11.25" customHeight="1">
      <c r="A715" t="s">
        <v>2191</v>
      </c>
      <c r="B715" t="s">
        <v>14</v>
      </c>
      <c r="C715" t="s">
        <v>3517</v>
      </c>
      <c r="D715" t="s">
        <v>3518</v>
      </c>
      <c r="E715" t="s">
        <v>3519</v>
      </c>
      <c r="F715" t="s">
        <v>3520</v>
      </c>
      <c r="G715" t="s">
        <v>17</v>
      </c>
      <c r="H715" t="s">
        <v>17</v>
      </c>
      <c r="I715" t="s">
        <v>2319</v>
      </c>
      <c r="J715" t="s">
        <v>17</v>
      </c>
      <c r="K715" t="s">
        <v>3239</v>
      </c>
      <c r="L715" t="s">
        <v>3245</v>
      </c>
      <c r="M715" t="s">
        <v>3246</v>
      </c>
      <c r="N715" t="s">
        <v>393</v>
      </c>
    </row>
    <row r="716" spans="1:14" ht="11.25" customHeight="1">
      <c r="A716" t="s">
        <v>2191</v>
      </c>
      <c r="B716" t="s">
        <v>14</v>
      </c>
      <c r="C716" t="s">
        <v>3517</v>
      </c>
      <c r="D716" t="s">
        <v>3518</v>
      </c>
      <c r="E716" t="s">
        <v>3519</v>
      </c>
      <c r="F716" t="s">
        <v>3520</v>
      </c>
      <c r="G716" t="s">
        <v>17</v>
      </c>
      <c r="H716" t="s">
        <v>17</v>
      </c>
      <c r="I716" t="s">
        <v>2319</v>
      </c>
      <c r="J716" t="s">
        <v>17</v>
      </c>
      <c r="K716" t="s">
        <v>3247</v>
      </c>
      <c r="L716" t="s">
        <v>3245</v>
      </c>
      <c r="M716" t="s">
        <v>3246</v>
      </c>
      <c r="N716" t="s">
        <v>393</v>
      </c>
    </row>
    <row r="717" spans="1:14" ht="11.25" customHeight="1">
      <c r="A717" t="s">
        <v>2191</v>
      </c>
      <c r="B717" t="s">
        <v>14</v>
      </c>
      <c r="C717" t="s">
        <v>3521</v>
      </c>
      <c r="D717" t="s">
        <v>3522</v>
      </c>
      <c r="E717" t="s">
        <v>3523</v>
      </c>
      <c r="F717" t="s">
        <v>2244</v>
      </c>
      <c r="G717" t="s">
        <v>17</v>
      </c>
      <c r="H717" t="s">
        <v>17</v>
      </c>
      <c r="I717" t="s">
        <v>2235</v>
      </c>
      <c r="J717" t="s">
        <v>17</v>
      </c>
      <c r="K717" t="s">
        <v>3239</v>
      </c>
      <c r="L717" t="s">
        <v>3240</v>
      </c>
      <c r="M717" t="s">
        <v>3241</v>
      </c>
      <c r="N717" t="s">
        <v>393</v>
      </c>
    </row>
    <row r="718" spans="1:14" ht="11.25" customHeight="1">
      <c r="A718" t="s">
        <v>2191</v>
      </c>
      <c r="B718" t="s">
        <v>14</v>
      </c>
      <c r="C718" t="s">
        <v>3524</v>
      </c>
      <c r="D718" t="s">
        <v>3525</v>
      </c>
      <c r="E718" t="s">
        <v>3526</v>
      </c>
      <c r="F718" t="s">
        <v>2712</v>
      </c>
      <c r="G718" t="s">
        <v>17</v>
      </c>
      <c r="H718" t="s">
        <v>17</v>
      </c>
      <c r="I718" t="s">
        <v>2235</v>
      </c>
      <c r="J718" t="s">
        <v>17</v>
      </c>
      <c r="K718" t="s">
        <v>3239</v>
      </c>
      <c r="L718" t="s">
        <v>3340</v>
      </c>
      <c r="M718" t="s">
        <v>3425</v>
      </c>
      <c r="N718" t="s">
        <v>393</v>
      </c>
    </row>
    <row r="719" spans="1:14" ht="11.25" customHeight="1">
      <c r="A719" t="s">
        <v>2191</v>
      </c>
      <c r="B719" t="s">
        <v>14</v>
      </c>
      <c r="C719" t="s">
        <v>3524</v>
      </c>
      <c r="D719" t="s">
        <v>3525</v>
      </c>
      <c r="E719" t="s">
        <v>3526</v>
      </c>
      <c r="F719" t="s">
        <v>2712</v>
      </c>
      <c r="G719" t="s">
        <v>17</v>
      </c>
      <c r="H719" t="s">
        <v>17</v>
      </c>
      <c r="I719" t="s">
        <v>2235</v>
      </c>
      <c r="J719" t="s">
        <v>17</v>
      </c>
      <c r="K719" t="s">
        <v>3247</v>
      </c>
      <c r="L719" t="s">
        <v>3340</v>
      </c>
      <c r="M719" t="s">
        <v>3425</v>
      </c>
      <c r="N719" t="s">
        <v>393</v>
      </c>
    </row>
    <row r="720" spans="1:14" ht="11.25" customHeight="1">
      <c r="A720" t="s">
        <v>2191</v>
      </c>
      <c r="B720" t="s">
        <v>14</v>
      </c>
      <c r="C720" t="s">
        <v>3527</v>
      </c>
      <c r="D720" t="s">
        <v>3528</v>
      </c>
      <c r="E720" t="s">
        <v>3529</v>
      </c>
      <c r="F720" t="s">
        <v>2202</v>
      </c>
      <c r="G720" t="s">
        <v>17</v>
      </c>
      <c r="H720" t="s">
        <v>17</v>
      </c>
      <c r="I720" t="s">
        <v>3530</v>
      </c>
      <c r="J720" t="s">
        <v>17</v>
      </c>
      <c r="K720" t="s">
        <v>3239</v>
      </c>
      <c r="L720" t="s">
        <v>3240</v>
      </c>
      <c r="M720" t="s">
        <v>3241</v>
      </c>
      <c r="N720" t="s">
        <v>393</v>
      </c>
    </row>
    <row r="721" spans="1:14" ht="11.25" customHeight="1">
      <c r="A721" t="s">
        <v>2191</v>
      </c>
      <c r="B721" t="s">
        <v>14</v>
      </c>
      <c r="C721" t="s">
        <v>3531</v>
      </c>
      <c r="D721" t="s">
        <v>3532</v>
      </c>
      <c r="E721" t="s">
        <v>3533</v>
      </c>
      <c r="F721" t="s">
        <v>2248</v>
      </c>
      <c r="G721" t="s">
        <v>17</v>
      </c>
      <c r="H721" t="s">
        <v>17</v>
      </c>
      <c r="I721" t="s">
        <v>2794</v>
      </c>
      <c r="J721" t="s">
        <v>17</v>
      </c>
      <c r="K721" t="s">
        <v>3247</v>
      </c>
      <c r="L721" t="s">
        <v>3332</v>
      </c>
      <c r="M721" t="s">
        <v>3350</v>
      </c>
      <c r="N721" t="s">
        <v>393</v>
      </c>
    </row>
    <row r="722" spans="1:14" ht="11.25" customHeight="1">
      <c r="A722" t="s">
        <v>2191</v>
      </c>
      <c r="B722" t="s">
        <v>14</v>
      </c>
      <c r="C722" t="s">
        <v>2856</v>
      </c>
      <c r="D722" t="s">
        <v>2857</v>
      </c>
      <c r="E722" t="s">
        <v>2858</v>
      </c>
      <c r="F722" t="s">
        <v>51</v>
      </c>
      <c r="G722" t="s">
        <v>2859</v>
      </c>
      <c r="H722" t="s">
        <v>17</v>
      </c>
      <c r="I722" t="s">
        <v>3534</v>
      </c>
      <c r="J722" t="s">
        <v>2319</v>
      </c>
      <c r="K722" t="s">
        <v>3239</v>
      </c>
      <c r="L722" t="s">
        <v>3245</v>
      </c>
      <c r="M722" t="s">
        <v>3246</v>
      </c>
      <c r="N722" t="s">
        <v>393</v>
      </c>
    </row>
    <row r="723" spans="1:14" ht="11.25" customHeight="1">
      <c r="A723" t="s">
        <v>2191</v>
      </c>
      <c r="B723" t="s">
        <v>14</v>
      </c>
      <c r="C723" t="s">
        <v>2856</v>
      </c>
      <c r="D723" t="s">
        <v>2857</v>
      </c>
      <c r="E723" t="s">
        <v>2858</v>
      </c>
      <c r="F723" t="s">
        <v>51</v>
      </c>
      <c r="G723" t="s">
        <v>2859</v>
      </c>
      <c r="H723" t="s">
        <v>17</v>
      </c>
      <c r="I723" t="s">
        <v>3534</v>
      </c>
      <c r="J723" t="s">
        <v>2319</v>
      </c>
      <c r="K723" t="s">
        <v>3247</v>
      </c>
      <c r="L723" t="s">
        <v>3245</v>
      </c>
      <c r="M723" t="s">
        <v>3246</v>
      </c>
      <c r="N723" t="s">
        <v>393</v>
      </c>
    </row>
    <row r="724" spans="1:14" ht="11.25" customHeight="1">
      <c r="A724" t="s">
        <v>2191</v>
      </c>
      <c r="B724" t="s">
        <v>14</v>
      </c>
      <c r="C724" t="s">
        <v>3535</v>
      </c>
      <c r="D724" t="s">
        <v>3536</v>
      </c>
      <c r="E724" t="s">
        <v>3537</v>
      </c>
      <c r="F724" t="s">
        <v>51</v>
      </c>
      <c r="G724" t="s">
        <v>17</v>
      </c>
      <c r="H724" t="s">
        <v>17</v>
      </c>
      <c r="I724" t="s">
        <v>2314</v>
      </c>
      <c r="J724" t="s">
        <v>3538</v>
      </c>
      <c r="K724" t="s">
        <v>3239</v>
      </c>
      <c r="L724" t="s">
        <v>3245</v>
      </c>
      <c r="M724" t="s">
        <v>3246</v>
      </c>
      <c r="N724" t="s">
        <v>393</v>
      </c>
    </row>
    <row r="725" spans="1:14" ht="11.25" customHeight="1">
      <c r="A725" t="s">
        <v>2191</v>
      </c>
      <c r="B725" t="s">
        <v>14</v>
      </c>
      <c r="C725" t="s">
        <v>3535</v>
      </c>
      <c r="D725" t="s">
        <v>3536</v>
      </c>
      <c r="E725" t="s">
        <v>3537</v>
      </c>
      <c r="F725" t="s">
        <v>51</v>
      </c>
      <c r="G725" t="s">
        <v>17</v>
      </c>
      <c r="H725" t="s">
        <v>17</v>
      </c>
      <c r="I725" t="s">
        <v>2314</v>
      </c>
      <c r="J725" t="s">
        <v>3538</v>
      </c>
      <c r="K725" t="s">
        <v>3247</v>
      </c>
      <c r="L725" t="s">
        <v>3245</v>
      </c>
      <c r="M725" t="s">
        <v>3246</v>
      </c>
      <c r="N725" t="s">
        <v>393</v>
      </c>
    </row>
    <row r="726" spans="1:14" ht="11.25" customHeight="1">
      <c r="A726" t="s">
        <v>2191</v>
      </c>
      <c r="B726" t="s">
        <v>14</v>
      </c>
      <c r="C726" t="s">
        <v>3539</v>
      </c>
      <c r="D726" t="s">
        <v>3536</v>
      </c>
      <c r="E726" t="s">
        <v>3540</v>
      </c>
      <c r="F726" t="s">
        <v>2211</v>
      </c>
      <c r="G726" t="s">
        <v>17</v>
      </c>
      <c r="H726" t="s">
        <v>17</v>
      </c>
      <c r="I726" t="s">
        <v>3541</v>
      </c>
      <c r="J726" t="s">
        <v>17</v>
      </c>
      <c r="K726" t="s">
        <v>3239</v>
      </c>
      <c r="L726" t="s">
        <v>3245</v>
      </c>
      <c r="M726" t="s">
        <v>3246</v>
      </c>
      <c r="N726" t="s">
        <v>393</v>
      </c>
    </row>
    <row r="727" spans="1:14" ht="11.25" customHeight="1">
      <c r="A727" t="s">
        <v>2191</v>
      </c>
      <c r="B727" t="s">
        <v>14</v>
      </c>
      <c r="C727" t="s">
        <v>3539</v>
      </c>
      <c r="D727" t="s">
        <v>3536</v>
      </c>
      <c r="E727" t="s">
        <v>3540</v>
      </c>
      <c r="F727" t="s">
        <v>2211</v>
      </c>
      <c r="G727" t="s">
        <v>17</v>
      </c>
      <c r="H727" t="s">
        <v>17</v>
      </c>
      <c r="I727" t="s">
        <v>3541</v>
      </c>
      <c r="J727" t="s">
        <v>17</v>
      </c>
      <c r="K727" t="s">
        <v>3247</v>
      </c>
      <c r="L727" t="s">
        <v>3245</v>
      </c>
      <c r="M727" t="s">
        <v>3246</v>
      </c>
      <c r="N727" t="s">
        <v>393</v>
      </c>
    </row>
    <row r="728" spans="1:14" ht="11.25" customHeight="1">
      <c r="A728" t="s">
        <v>2191</v>
      </c>
      <c r="B728" t="s">
        <v>14</v>
      </c>
      <c r="C728" t="s">
        <v>2868</v>
      </c>
      <c r="D728" t="s">
        <v>2869</v>
      </c>
      <c r="E728" t="s">
        <v>2870</v>
      </c>
      <c r="F728" t="s">
        <v>2422</v>
      </c>
      <c r="G728" t="s">
        <v>17</v>
      </c>
      <c r="H728" t="s">
        <v>17</v>
      </c>
      <c r="I728" t="s">
        <v>2315</v>
      </c>
      <c r="J728" t="s">
        <v>17</v>
      </c>
      <c r="K728" t="s">
        <v>3239</v>
      </c>
      <c r="L728" t="s">
        <v>3340</v>
      </c>
      <c r="M728" t="s">
        <v>3425</v>
      </c>
      <c r="N728" t="s">
        <v>393</v>
      </c>
    </row>
    <row r="729" spans="1:14" ht="11.25" customHeight="1">
      <c r="A729" t="s">
        <v>2191</v>
      </c>
      <c r="B729" t="s">
        <v>14</v>
      </c>
      <c r="C729" t="s">
        <v>2868</v>
      </c>
      <c r="D729" t="s">
        <v>2869</v>
      </c>
      <c r="E729" t="s">
        <v>2870</v>
      </c>
      <c r="F729" t="s">
        <v>2422</v>
      </c>
      <c r="G729" t="s">
        <v>17</v>
      </c>
      <c r="H729" t="s">
        <v>17</v>
      </c>
      <c r="I729" t="s">
        <v>2315</v>
      </c>
      <c r="J729" t="s">
        <v>17</v>
      </c>
      <c r="K729" t="s">
        <v>3247</v>
      </c>
      <c r="L729" t="s">
        <v>3340</v>
      </c>
      <c r="M729" t="s">
        <v>3425</v>
      </c>
      <c r="N729" t="s">
        <v>393</v>
      </c>
    </row>
    <row r="730" spans="1:14" ht="11.25" customHeight="1">
      <c r="A730" t="s">
        <v>2191</v>
      </c>
      <c r="B730" t="s">
        <v>14</v>
      </c>
      <c r="C730" t="s">
        <v>2868</v>
      </c>
      <c r="D730" t="s">
        <v>2869</v>
      </c>
      <c r="E730" t="s">
        <v>2870</v>
      </c>
      <c r="F730" t="s">
        <v>2422</v>
      </c>
      <c r="G730" t="s">
        <v>17</v>
      </c>
      <c r="H730" t="s">
        <v>17</v>
      </c>
      <c r="I730" t="s">
        <v>2794</v>
      </c>
      <c r="J730" t="s">
        <v>17</v>
      </c>
      <c r="K730" t="s">
        <v>3239</v>
      </c>
      <c r="L730" t="s">
        <v>3332</v>
      </c>
      <c r="M730" t="s">
        <v>3333</v>
      </c>
      <c r="N730" t="s">
        <v>393</v>
      </c>
    </row>
    <row r="731" spans="1:14" ht="11.25" customHeight="1">
      <c r="A731" t="s">
        <v>2191</v>
      </c>
      <c r="B731" t="s">
        <v>14</v>
      </c>
      <c r="C731" t="s">
        <v>3542</v>
      </c>
      <c r="D731" t="s">
        <v>3543</v>
      </c>
      <c r="E731" t="s">
        <v>3544</v>
      </c>
      <c r="F731" t="s">
        <v>2554</v>
      </c>
      <c r="G731" t="s">
        <v>17</v>
      </c>
      <c r="H731" t="s">
        <v>17</v>
      </c>
      <c r="I731" t="s">
        <v>2486</v>
      </c>
      <c r="J731" t="s">
        <v>17</v>
      </c>
      <c r="K731" t="s">
        <v>3239</v>
      </c>
      <c r="L731" t="s">
        <v>3245</v>
      </c>
      <c r="M731" t="s">
        <v>3246</v>
      </c>
      <c r="N731" t="s">
        <v>393</v>
      </c>
    </row>
    <row r="732" spans="1:14" ht="11.25" customHeight="1">
      <c r="A732" t="s">
        <v>2191</v>
      </c>
      <c r="B732" t="s">
        <v>14</v>
      </c>
      <c r="C732" t="s">
        <v>3542</v>
      </c>
      <c r="D732" t="s">
        <v>3543</v>
      </c>
      <c r="E732" t="s">
        <v>3544</v>
      </c>
      <c r="F732" t="s">
        <v>2554</v>
      </c>
      <c r="G732" t="s">
        <v>17</v>
      </c>
      <c r="H732" t="s">
        <v>17</v>
      </c>
      <c r="I732" t="s">
        <v>2486</v>
      </c>
      <c r="J732" t="s">
        <v>17</v>
      </c>
      <c r="K732" t="s">
        <v>3247</v>
      </c>
      <c r="L732" t="s">
        <v>3245</v>
      </c>
      <c r="M732" t="s">
        <v>3246</v>
      </c>
      <c r="N732" t="s">
        <v>393</v>
      </c>
    </row>
    <row r="733" spans="1:14" ht="11.25" customHeight="1">
      <c r="A733" t="s">
        <v>2191</v>
      </c>
      <c r="B733" t="s">
        <v>14</v>
      </c>
      <c r="C733" t="s">
        <v>3545</v>
      </c>
      <c r="D733" t="s">
        <v>3546</v>
      </c>
      <c r="E733" t="s">
        <v>3547</v>
      </c>
      <c r="F733" t="s">
        <v>2530</v>
      </c>
      <c r="G733" t="s">
        <v>17</v>
      </c>
      <c r="H733" t="s">
        <v>17</v>
      </c>
      <c r="I733" t="s">
        <v>2319</v>
      </c>
      <c r="J733" t="s">
        <v>17</v>
      </c>
      <c r="K733" t="s">
        <v>3239</v>
      </c>
      <c r="L733" t="s">
        <v>3245</v>
      </c>
      <c r="M733" t="s">
        <v>3246</v>
      </c>
      <c r="N733" t="s">
        <v>393</v>
      </c>
    </row>
    <row r="734" spans="1:14" ht="11.25" customHeight="1">
      <c r="A734" t="s">
        <v>2191</v>
      </c>
      <c r="B734" t="s">
        <v>14</v>
      </c>
      <c r="C734" t="s">
        <v>3545</v>
      </c>
      <c r="D734" t="s">
        <v>3546</v>
      </c>
      <c r="E734" t="s">
        <v>3547</v>
      </c>
      <c r="F734" t="s">
        <v>2530</v>
      </c>
      <c r="G734" t="s">
        <v>17</v>
      </c>
      <c r="H734" t="s">
        <v>17</v>
      </c>
      <c r="I734" t="s">
        <v>2319</v>
      </c>
      <c r="J734" t="s">
        <v>17</v>
      </c>
      <c r="K734" t="s">
        <v>3247</v>
      </c>
      <c r="L734" t="s">
        <v>3245</v>
      </c>
      <c r="M734" t="s">
        <v>3246</v>
      </c>
      <c r="N734" t="s">
        <v>393</v>
      </c>
    </row>
    <row r="735" spans="1:14" ht="11.25" customHeight="1">
      <c r="A735" t="s">
        <v>2191</v>
      </c>
      <c r="B735" t="s">
        <v>14</v>
      </c>
      <c r="C735" t="s">
        <v>3228</v>
      </c>
      <c r="D735" t="s">
        <v>3229</v>
      </c>
      <c r="E735" t="s">
        <v>3230</v>
      </c>
      <c r="F735" t="s">
        <v>2640</v>
      </c>
      <c r="G735" t="s">
        <v>3231</v>
      </c>
      <c r="H735" t="s">
        <v>17</v>
      </c>
      <c r="I735" t="s">
        <v>2319</v>
      </c>
      <c r="J735" t="s">
        <v>2319</v>
      </c>
      <c r="K735" t="s">
        <v>3239</v>
      </c>
      <c r="L735" t="s">
        <v>3245</v>
      </c>
      <c r="M735" t="s">
        <v>3246</v>
      </c>
      <c r="N735" t="s">
        <v>393</v>
      </c>
    </row>
    <row r="736" spans="1:14" ht="11.25" customHeight="1">
      <c r="A736" t="s">
        <v>2191</v>
      </c>
      <c r="B736" t="s">
        <v>14</v>
      </c>
      <c r="C736" t="s">
        <v>3228</v>
      </c>
      <c r="D736" t="s">
        <v>3229</v>
      </c>
      <c r="E736" t="s">
        <v>3230</v>
      </c>
      <c r="F736" t="s">
        <v>2640</v>
      </c>
      <c r="G736" t="s">
        <v>3231</v>
      </c>
      <c r="H736" t="s">
        <v>17</v>
      </c>
      <c r="I736" t="s">
        <v>2319</v>
      </c>
      <c r="J736" t="s">
        <v>2319</v>
      </c>
      <c r="K736" t="s">
        <v>3247</v>
      </c>
      <c r="L736" t="s">
        <v>3245</v>
      </c>
      <c r="M736" t="s">
        <v>3246</v>
      </c>
      <c r="N736" t="s">
        <v>393</v>
      </c>
    </row>
    <row r="737" spans="1:14" ht="11.25" customHeight="1">
      <c r="A737" t="s">
        <v>2191</v>
      </c>
      <c r="B737" t="s">
        <v>14</v>
      </c>
      <c r="C737" t="s">
        <v>3548</v>
      </c>
      <c r="D737" t="s">
        <v>3549</v>
      </c>
      <c r="E737" t="s">
        <v>3550</v>
      </c>
      <c r="F737" t="s">
        <v>2467</v>
      </c>
      <c r="G737" t="s">
        <v>17</v>
      </c>
      <c r="H737" t="s">
        <v>17</v>
      </c>
      <c r="I737" t="s">
        <v>2319</v>
      </c>
      <c r="J737" t="s">
        <v>17</v>
      </c>
      <c r="K737" t="s">
        <v>3247</v>
      </c>
      <c r="L737" t="s">
        <v>3332</v>
      </c>
      <c r="M737" t="s">
        <v>3350</v>
      </c>
      <c r="N737" t="s">
        <v>393</v>
      </c>
    </row>
    <row r="738" spans="1:14" ht="11.25" customHeight="1">
      <c r="A738" t="s">
        <v>2191</v>
      </c>
      <c r="B738" t="s">
        <v>14</v>
      </c>
      <c r="C738" t="s">
        <v>3551</v>
      </c>
      <c r="D738" t="s">
        <v>3552</v>
      </c>
      <c r="E738" t="s">
        <v>3553</v>
      </c>
      <c r="F738" t="s">
        <v>2756</v>
      </c>
      <c r="G738" t="s">
        <v>3554</v>
      </c>
      <c r="H738" t="s">
        <v>17</v>
      </c>
      <c r="I738" t="s">
        <v>2319</v>
      </c>
      <c r="J738" t="s">
        <v>17</v>
      </c>
      <c r="K738" t="s">
        <v>3239</v>
      </c>
      <c r="L738" t="s">
        <v>3245</v>
      </c>
      <c r="M738" t="s">
        <v>3246</v>
      </c>
      <c r="N738" t="s">
        <v>393</v>
      </c>
    </row>
    <row r="739" spans="1:14" ht="11.25" customHeight="1">
      <c r="A739" t="s">
        <v>2191</v>
      </c>
      <c r="B739" t="s">
        <v>14</v>
      </c>
      <c r="C739" t="s">
        <v>3551</v>
      </c>
      <c r="D739" t="s">
        <v>3552</v>
      </c>
      <c r="E739" t="s">
        <v>3553</v>
      </c>
      <c r="F739" t="s">
        <v>2756</v>
      </c>
      <c r="G739" t="s">
        <v>3554</v>
      </c>
      <c r="H739" t="s">
        <v>17</v>
      </c>
      <c r="I739" t="s">
        <v>2319</v>
      </c>
      <c r="J739" t="s">
        <v>17</v>
      </c>
      <c r="K739" t="s">
        <v>3247</v>
      </c>
      <c r="L739" t="s">
        <v>3245</v>
      </c>
      <c r="M739" t="s">
        <v>3246</v>
      </c>
      <c r="N739" t="s">
        <v>393</v>
      </c>
    </row>
    <row r="740" spans="1:14" ht="11.25" customHeight="1">
      <c r="A740" t="s">
        <v>2191</v>
      </c>
      <c r="B740" t="s">
        <v>14</v>
      </c>
      <c r="C740" t="s">
        <v>2941</v>
      </c>
      <c r="D740" t="s">
        <v>2942</v>
      </c>
      <c r="E740" t="s">
        <v>2943</v>
      </c>
      <c r="F740" t="s">
        <v>2944</v>
      </c>
      <c r="G740" t="s">
        <v>17</v>
      </c>
      <c r="H740" t="s">
        <v>17</v>
      </c>
      <c r="I740" t="s">
        <v>2945</v>
      </c>
      <c r="J740" t="s">
        <v>17</v>
      </c>
      <c r="K740" t="s">
        <v>3239</v>
      </c>
      <c r="L740" t="s">
        <v>3555</v>
      </c>
      <c r="M740" t="s">
        <v>3556</v>
      </c>
      <c r="N740" t="s">
        <v>393</v>
      </c>
    </row>
    <row r="741" spans="1:14" ht="11.25" customHeight="1">
      <c r="A741" t="s">
        <v>2191</v>
      </c>
      <c r="B741" t="s">
        <v>14</v>
      </c>
      <c r="C741" t="s">
        <v>2941</v>
      </c>
      <c r="D741" t="s">
        <v>2942</v>
      </c>
      <c r="E741" t="s">
        <v>2943</v>
      </c>
      <c r="F741" t="s">
        <v>2944</v>
      </c>
      <c r="G741" t="s">
        <v>17</v>
      </c>
      <c r="H741" t="s">
        <v>17</v>
      </c>
      <c r="I741" t="s">
        <v>2945</v>
      </c>
      <c r="J741" t="s">
        <v>17</v>
      </c>
      <c r="K741" t="s">
        <v>3247</v>
      </c>
      <c r="L741" t="s">
        <v>3555</v>
      </c>
      <c r="M741" t="s">
        <v>3556</v>
      </c>
      <c r="N741" t="s">
        <v>393</v>
      </c>
    </row>
    <row r="742" spans="1:14" ht="11.25" customHeight="1">
      <c r="A742" t="s">
        <v>2191</v>
      </c>
      <c r="B742" t="s">
        <v>14</v>
      </c>
      <c r="C742" t="s">
        <v>3557</v>
      </c>
      <c r="D742" t="s">
        <v>3558</v>
      </c>
      <c r="E742" t="s">
        <v>3559</v>
      </c>
      <c r="F742" t="s">
        <v>2207</v>
      </c>
      <c r="G742" t="s">
        <v>17</v>
      </c>
      <c r="H742" t="s">
        <v>17</v>
      </c>
      <c r="I742" t="s">
        <v>2319</v>
      </c>
      <c r="J742" t="s">
        <v>17</v>
      </c>
      <c r="K742" t="s">
        <v>3239</v>
      </c>
      <c r="L742" t="s">
        <v>3340</v>
      </c>
      <c r="M742" t="s">
        <v>3341</v>
      </c>
      <c r="N742" t="s">
        <v>393</v>
      </c>
    </row>
    <row r="743" spans="1:14" ht="11.25" customHeight="1">
      <c r="A743" t="s">
        <v>2191</v>
      </c>
      <c r="B743" t="s">
        <v>14</v>
      </c>
      <c r="C743" t="s">
        <v>3560</v>
      </c>
      <c r="D743" t="s">
        <v>3561</v>
      </c>
      <c r="E743" t="s">
        <v>3562</v>
      </c>
      <c r="F743" t="s">
        <v>2248</v>
      </c>
      <c r="G743" t="s">
        <v>3563</v>
      </c>
      <c r="H743" t="s">
        <v>17</v>
      </c>
      <c r="I743" t="s">
        <v>2319</v>
      </c>
      <c r="J743" t="s">
        <v>17</v>
      </c>
      <c r="K743" t="s">
        <v>3239</v>
      </c>
      <c r="L743" t="s">
        <v>3486</v>
      </c>
      <c r="M743" t="s">
        <v>3487</v>
      </c>
      <c r="N743" t="s">
        <v>393</v>
      </c>
    </row>
    <row r="744" spans="1:14" ht="11.25" customHeight="1">
      <c r="A744" t="s">
        <v>2191</v>
      </c>
      <c r="B744" t="s">
        <v>14</v>
      </c>
      <c r="C744" t="s">
        <v>3560</v>
      </c>
      <c r="D744" t="s">
        <v>3561</v>
      </c>
      <c r="E744" t="s">
        <v>3562</v>
      </c>
      <c r="F744" t="s">
        <v>2248</v>
      </c>
      <c r="G744" t="s">
        <v>3563</v>
      </c>
      <c r="H744" t="s">
        <v>17</v>
      </c>
      <c r="I744" t="s">
        <v>2319</v>
      </c>
      <c r="J744" t="s">
        <v>17</v>
      </c>
      <c r="K744" t="s">
        <v>3247</v>
      </c>
      <c r="L744" t="s">
        <v>3486</v>
      </c>
      <c r="M744" t="s">
        <v>3487</v>
      </c>
      <c r="N744" t="s">
        <v>393</v>
      </c>
    </row>
    <row r="745" spans="1:14" ht="11.25" customHeight="1">
      <c r="A745" t="s">
        <v>2191</v>
      </c>
      <c r="B745" t="s">
        <v>14</v>
      </c>
      <c r="C745" t="s">
        <v>3564</v>
      </c>
      <c r="D745" t="s">
        <v>3565</v>
      </c>
      <c r="E745" t="s">
        <v>3566</v>
      </c>
      <c r="F745" t="s">
        <v>2248</v>
      </c>
      <c r="G745" t="s">
        <v>17</v>
      </c>
      <c r="H745" t="s">
        <v>17</v>
      </c>
      <c r="I745" t="s">
        <v>2319</v>
      </c>
      <c r="J745" t="s">
        <v>17</v>
      </c>
      <c r="K745" t="s">
        <v>3239</v>
      </c>
      <c r="L745" t="s">
        <v>3245</v>
      </c>
      <c r="M745" t="s">
        <v>3246</v>
      </c>
      <c r="N745" t="s">
        <v>393</v>
      </c>
    </row>
    <row r="746" spans="1:14" ht="11.25" customHeight="1">
      <c r="A746" t="s">
        <v>2191</v>
      </c>
      <c r="B746" t="s">
        <v>14</v>
      </c>
      <c r="C746" t="s">
        <v>3564</v>
      </c>
      <c r="D746" t="s">
        <v>3565</v>
      </c>
      <c r="E746" t="s">
        <v>3566</v>
      </c>
      <c r="F746" t="s">
        <v>2248</v>
      </c>
      <c r="G746" t="s">
        <v>17</v>
      </c>
      <c r="H746" t="s">
        <v>17</v>
      </c>
      <c r="I746" t="s">
        <v>2319</v>
      </c>
      <c r="J746" t="s">
        <v>17</v>
      </c>
      <c r="K746" t="s">
        <v>3247</v>
      </c>
      <c r="L746" t="s">
        <v>3245</v>
      </c>
      <c r="M746" t="s">
        <v>3246</v>
      </c>
      <c r="N746" t="s">
        <v>393</v>
      </c>
    </row>
    <row r="747" spans="1:14" ht="11.25" customHeight="1">
      <c r="A747" t="s">
        <v>2191</v>
      </c>
      <c r="B747" t="s">
        <v>14</v>
      </c>
      <c r="C747" t="s">
        <v>3567</v>
      </c>
      <c r="D747" t="s">
        <v>3568</v>
      </c>
      <c r="E747" t="s">
        <v>3569</v>
      </c>
      <c r="F747" t="s">
        <v>2640</v>
      </c>
      <c r="G747" t="s">
        <v>3570</v>
      </c>
      <c r="H747" t="s">
        <v>17</v>
      </c>
      <c r="I747" t="s">
        <v>2319</v>
      </c>
      <c r="J747" t="s">
        <v>17</v>
      </c>
      <c r="K747" t="s">
        <v>3239</v>
      </c>
      <c r="L747" t="s">
        <v>3245</v>
      </c>
      <c r="M747" t="s">
        <v>3246</v>
      </c>
      <c r="N747" t="s">
        <v>393</v>
      </c>
    </row>
    <row r="748" spans="1:14" ht="11.25" customHeight="1">
      <c r="A748" t="s">
        <v>2191</v>
      </c>
      <c r="B748" t="s">
        <v>14</v>
      </c>
      <c r="C748" t="s">
        <v>3567</v>
      </c>
      <c r="D748" t="s">
        <v>3568</v>
      </c>
      <c r="E748" t="s">
        <v>3569</v>
      </c>
      <c r="F748" t="s">
        <v>2640</v>
      </c>
      <c r="G748" t="s">
        <v>3570</v>
      </c>
      <c r="H748" t="s">
        <v>17</v>
      </c>
      <c r="I748" t="s">
        <v>2319</v>
      </c>
      <c r="J748" t="s">
        <v>17</v>
      </c>
      <c r="K748" t="s">
        <v>3247</v>
      </c>
      <c r="L748" t="s">
        <v>3245</v>
      </c>
      <c r="M748" t="s">
        <v>3246</v>
      </c>
      <c r="N748" t="s">
        <v>393</v>
      </c>
    </row>
    <row r="749" spans="1:14" ht="11.25" customHeight="1">
      <c r="A749" t="s">
        <v>2191</v>
      </c>
      <c r="B749" t="s">
        <v>14</v>
      </c>
      <c r="C749" t="s">
        <v>3571</v>
      </c>
      <c r="D749" t="s">
        <v>3572</v>
      </c>
      <c r="E749" t="s">
        <v>3573</v>
      </c>
      <c r="F749" t="s">
        <v>2244</v>
      </c>
      <c r="G749" t="s">
        <v>17</v>
      </c>
      <c r="H749" t="s">
        <v>17</v>
      </c>
      <c r="I749" t="s">
        <v>2235</v>
      </c>
      <c r="J749" t="s">
        <v>17</v>
      </c>
      <c r="K749" t="s">
        <v>3239</v>
      </c>
      <c r="L749" t="s">
        <v>3245</v>
      </c>
      <c r="M749" t="s">
        <v>3246</v>
      </c>
      <c r="N749" t="s">
        <v>393</v>
      </c>
    </row>
    <row r="750" spans="1:14" ht="11.25" customHeight="1">
      <c r="A750" t="s">
        <v>2191</v>
      </c>
      <c r="B750" t="s">
        <v>14</v>
      </c>
      <c r="C750" t="s">
        <v>3571</v>
      </c>
      <c r="D750" t="s">
        <v>3572</v>
      </c>
      <c r="E750" t="s">
        <v>3573</v>
      </c>
      <c r="F750" t="s">
        <v>2244</v>
      </c>
      <c r="G750" t="s">
        <v>17</v>
      </c>
      <c r="H750" t="s">
        <v>17</v>
      </c>
      <c r="I750" t="s">
        <v>2235</v>
      </c>
      <c r="J750" t="s">
        <v>17</v>
      </c>
      <c r="K750" t="s">
        <v>3247</v>
      </c>
      <c r="L750" t="s">
        <v>3245</v>
      </c>
      <c r="M750" t="s">
        <v>3246</v>
      </c>
      <c r="N750" t="s">
        <v>393</v>
      </c>
    </row>
    <row r="751" spans="1:14" ht="11.25" customHeight="1">
      <c r="A751" t="s">
        <v>2191</v>
      </c>
      <c r="B751" t="s">
        <v>14</v>
      </c>
      <c r="C751" t="s">
        <v>2985</v>
      </c>
      <c r="D751" t="s">
        <v>2986</v>
      </c>
      <c r="E751" t="s">
        <v>2987</v>
      </c>
      <c r="F751" t="s">
        <v>2530</v>
      </c>
      <c r="G751" t="s">
        <v>2988</v>
      </c>
      <c r="H751" t="s">
        <v>17</v>
      </c>
      <c r="I751" t="s">
        <v>2319</v>
      </c>
      <c r="J751" t="s">
        <v>17</v>
      </c>
      <c r="K751" t="s">
        <v>3239</v>
      </c>
      <c r="L751" t="s">
        <v>3245</v>
      </c>
      <c r="M751" t="s">
        <v>3246</v>
      </c>
      <c r="N751" t="s">
        <v>393</v>
      </c>
    </row>
    <row r="752" spans="1:14" ht="11.25" customHeight="1">
      <c r="A752" t="s">
        <v>2191</v>
      </c>
      <c r="B752" t="s">
        <v>14</v>
      </c>
      <c r="C752" t="s">
        <v>2985</v>
      </c>
      <c r="D752" t="s">
        <v>2986</v>
      </c>
      <c r="E752" t="s">
        <v>2987</v>
      </c>
      <c r="F752" t="s">
        <v>2530</v>
      </c>
      <c r="G752" t="s">
        <v>2988</v>
      </c>
      <c r="H752" t="s">
        <v>17</v>
      </c>
      <c r="I752" t="s">
        <v>2319</v>
      </c>
      <c r="J752" t="s">
        <v>17</v>
      </c>
      <c r="K752" t="s">
        <v>3247</v>
      </c>
      <c r="L752" t="s">
        <v>3245</v>
      </c>
      <c r="M752" t="s">
        <v>3246</v>
      </c>
      <c r="N752" t="s">
        <v>393</v>
      </c>
    </row>
    <row r="753" spans="1:14" ht="11.25" customHeight="1">
      <c r="A753" t="s">
        <v>2191</v>
      </c>
      <c r="B753" t="s">
        <v>14</v>
      </c>
      <c r="C753" t="s">
        <v>2998</v>
      </c>
      <c r="D753" t="s">
        <v>2999</v>
      </c>
      <c r="E753" t="s">
        <v>3000</v>
      </c>
      <c r="F753" t="s">
        <v>2374</v>
      </c>
      <c r="G753" t="s">
        <v>17</v>
      </c>
      <c r="H753" t="s">
        <v>17</v>
      </c>
      <c r="I753" t="s">
        <v>3001</v>
      </c>
      <c r="J753" t="s">
        <v>17</v>
      </c>
      <c r="K753" t="s">
        <v>3239</v>
      </c>
      <c r="L753" t="s">
        <v>3245</v>
      </c>
      <c r="M753" t="s">
        <v>3246</v>
      </c>
      <c r="N753" t="s">
        <v>393</v>
      </c>
    </row>
    <row r="754" spans="1:14" ht="11.25" customHeight="1">
      <c r="A754" t="s">
        <v>2191</v>
      </c>
      <c r="B754" t="s">
        <v>14</v>
      </c>
      <c r="C754" t="s">
        <v>2998</v>
      </c>
      <c r="D754" t="s">
        <v>2999</v>
      </c>
      <c r="E754" t="s">
        <v>3000</v>
      </c>
      <c r="F754" t="s">
        <v>2374</v>
      </c>
      <c r="G754" t="s">
        <v>17</v>
      </c>
      <c r="H754" t="s">
        <v>17</v>
      </c>
      <c r="I754" t="s">
        <v>3001</v>
      </c>
      <c r="J754" t="s">
        <v>17</v>
      </c>
      <c r="K754" t="s">
        <v>3247</v>
      </c>
      <c r="L754" t="s">
        <v>3245</v>
      </c>
      <c r="M754" t="s">
        <v>3246</v>
      </c>
      <c r="N754" t="s">
        <v>393</v>
      </c>
    </row>
    <row r="755" spans="1:14" ht="11.25" customHeight="1">
      <c r="A755" t="s">
        <v>2191</v>
      </c>
      <c r="B755" t="s">
        <v>14</v>
      </c>
      <c r="C755" t="s">
        <v>3574</v>
      </c>
      <c r="D755" t="s">
        <v>3575</v>
      </c>
      <c r="E755" t="s">
        <v>3576</v>
      </c>
      <c r="F755" t="s">
        <v>2248</v>
      </c>
      <c r="G755" t="s">
        <v>17</v>
      </c>
      <c r="H755" t="s">
        <v>17</v>
      </c>
      <c r="I755" t="s">
        <v>3577</v>
      </c>
      <c r="J755" t="s">
        <v>17</v>
      </c>
      <c r="K755" t="s">
        <v>3247</v>
      </c>
      <c r="L755" t="s">
        <v>3260</v>
      </c>
      <c r="M755" t="s">
        <v>3578</v>
      </c>
      <c r="N755" t="s">
        <v>393</v>
      </c>
    </row>
    <row r="756" spans="1:14" ht="11.25" customHeight="1">
      <c r="A756" t="s">
        <v>2191</v>
      </c>
      <c r="B756" t="s">
        <v>14</v>
      </c>
      <c r="C756" t="s">
        <v>3579</v>
      </c>
      <c r="D756" t="s">
        <v>3580</v>
      </c>
      <c r="E756" t="s">
        <v>3581</v>
      </c>
      <c r="F756" t="s">
        <v>2414</v>
      </c>
      <c r="G756" t="s">
        <v>17</v>
      </c>
      <c r="H756" t="s">
        <v>17</v>
      </c>
      <c r="I756" t="s">
        <v>2319</v>
      </c>
      <c r="J756" t="s">
        <v>17</v>
      </c>
      <c r="K756" t="s">
        <v>3239</v>
      </c>
      <c r="L756" t="s">
        <v>3245</v>
      </c>
      <c r="M756" t="s">
        <v>3246</v>
      </c>
      <c r="N756" t="s">
        <v>393</v>
      </c>
    </row>
    <row r="757" spans="1:14" ht="11.25" customHeight="1">
      <c r="A757" t="s">
        <v>2191</v>
      </c>
      <c r="B757" t="s">
        <v>14</v>
      </c>
      <c r="C757" t="s">
        <v>3579</v>
      </c>
      <c r="D757" t="s">
        <v>3580</v>
      </c>
      <c r="E757" t="s">
        <v>3581</v>
      </c>
      <c r="F757" t="s">
        <v>2414</v>
      </c>
      <c r="G757" t="s">
        <v>17</v>
      </c>
      <c r="H757" t="s">
        <v>17</v>
      </c>
      <c r="I757" t="s">
        <v>2319</v>
      </c>
      <c r="J757" t="s">
        <v>17</v>
      </c>
      <c r="K757" t="s">
        <v>3247</v>
      </c>
      <c r="L757" t="s">
        <v>3245</v>
      </c>
      <c r="M757" t="s">
        <v>3246</v>
      </c>
      <c r="N757" t="s">
        <v>393</v>
      </c>
    </row>
    <row r="758" spans="1:14" ht="11.25" customHeight="1">
      <c r="A758" t="s">
        <v>2191</v>
      </c>
      <c r="B758" t="s">
        <v>14</v>
      </c>
      <c r="C758" t="s">
        <v>3582</v>
      </c>
      <c r="D758" t="s">
        <v>3583</v>
      </c>
      <c r="E758" t="s">
        <v>3584</v>
      </c>
      <c r="F758" t="s">
        <v>2402</v>
      </c>
      <c r="G758" t="s">
        <v>17</v>
      </c>
      <c r="H758" t="s">
        <v>17</v>
      </c>
      <c r="I758" t="s">
        <v>2319</v>
      </c>
      <c r="J758" t="s">
        <v>3516</v>
      </c>
      <c r="K758" t="s">
        <v>3239</v>
      </c>
      <c r="L758" t="s">
        <v>3245</v>
      </c>
      <c r="M758" t="s">
        <v>3246</v>
      </c>
      <c r="N758" t="s">
        <v>393</v>
      </c>
    </row>
    <row r="759" spans="1:14" ht="11.25" customHeight="1">
      <c r="A759" t="s">
        <v>2191</v>
      </c>
      <c r="B759" t="s">
        <v>14</v>
      </c>
      <c r="C759" t="s">
        <v>3582</v>
      </c>
      <c r="D759" t="s">
        <v>3583</v>
      </c>
      <c r="E759" t="s">
        <v>3584</v>
      </c>
      <c r="F759" t="s">
        <v>2402</v>
      </c>
      <c r="G759" t="s">
        <v>17</v>
      </c>
      <c r="H759" t="s">
        <v>17</v>
      </c>
      <c r="I759" t="s">
        <v>2319</v>
      </c>
      <c r="J759" t="s">
        <v>3516</v>
      </c>
      <c r="K759" t="s">
        <v>3247</v>
      </c>
      <c r="L759" t="s">
        <v>3245</v>
      </c>
      <c r="M759" t="s">
        <v>3246</v>
      </c>
      <c r="N759" t="s">
        <v>393</v>
      </c>
    </row>
    <row r="760" spans="1:14" ht="11.25" customHeight="1">
      <c r="A760" t="s">
        <v>2191</v>
      </c>
      <c r="B760" t="s">
        <v>14</v>
      </c>
      <c r="C760" t="s">
        <v>3585</v>
      </c>
      <c r="D760" t="s">
        <v>3586</v>
      </c>
      <c r="E760" t="s">
        <v>3587</v>
      </c>
      <c r="F760" t="s">
        <v>2248</v>
      </c>
      <c r="G760" t="s">
        <v>17</v>
      </c>
      <c r="H760" t="s">
        <v>17</v>
      </c>
      <c r="I760" t="s">
        <v>3588</v>
      </c>
      <c r="J760" t="s">
        <v>17</v>
      </c>
      <c r="K760" t="s">
        <v>3239</v>
      </c>
      <c r="L760" t="s">
        <v>3589</v>
      </c>
      <c r="M760" t="s">
        <v>3590</v>
      </c>
      <c r="N760" t="s">
        <v>393</v>
      </c>
    </row>
    <row r="761" spans="1:14" ht="11.25" customHeight="1">
      <c r="A761" t="s">
        <v>2191</v>
      </c>
      <c r="B761" t="s">
        <v>14</v>
      </c>
      <c r="C761" t="s">
        <v>3585</v>
      </c>
      <c r="D761" t="s">
        <v>3586</v>
      </c>
      <c r="E761" t="s">
        <v>3587</v>
      </c>
      <c r="F761" t="s">
        <v>2248</v>
      </c>
      <c r="G761" t="s">
        <v>17</v>
      </c>
      <c r="H761" t="s">
        <v>17</v>
      </c>
      <c r="I761" t="s">
        <v>3588</v>
      </c>
      <c r="J761" t="s">
        <v>17</v>
      </c>
      <c r="K761" t="s">
        <v>3247</v>
      </c>
      <c r="L761" t="s">
        <v>3589</v>
      </c>
      <c r="M761" t="s">
        <v>3590</v>
      </c>
      <c r="N761" t="s">
        <v>393</v>
      </c>
    </row>
    <row r="762" spans="1:14" ht="11.25" customHeight="1">
      <c r="A762" t="s">
        <v>2191</v>
      </c>
      <c r="B762" t="s">
        <v>14</v>
      </c>
      <c r="C762" t="s">
        <v>3591</v>
      </c>
      <c r="D762" t="s">
        <v>3592</v>
      </c>
      <c r="E762" t="s">
        <v>3593</v>
      </c>
      <c r="F762" t="s">
        <v>2739</v>
      </c>
      <c r="G762" t="s">
        <v>17</v>
      </c>
      <c r="H762" t="s">
        <v>17</v>
      </c>
      <c r="I762" t="s">
        <v>2319</v>
      </c>
      <c r="J762" t="s">
        <v>17</v>
      </c>
      <c r="K762" t="s">
        <v>3239</v>
      </c>
      <c r="L762" t="s">
        <v>3486</v>
      </c>
      <c r="M762" t="s">
        <v>3487</v>
      </c>
      <c r="N762" t="s">
        <v>393</v>
      </c>
    </row>
    <row r="763" spans="1:14" ht="11.25" customHeight="1">
      <c r="A763" t="s">
        <v>2191</v>
      </c>
      <c r="B763" t="s">
        <v>14</v>
      </c>
      <c r="C763" t="s">
        <v>3591</v>
      </c>
      <c r="D763" t="s">
        <v>3592</v>
      </c>
      <c r="E763" t="s">
        <v>3593</v>
      </c>
      <c r="F763" t="s">
        <v>2739</v>
      </c>
      <c r="G763" t="s">
        <v>17</v>
      </c>
      <c r="H763" t="s">
        <v>17</v>
      </c>
      <c r="I763" t="s">
        <v>2319</v>
      </c>
      <c r="J763" t="s">
        <v>17</v>
      </c>
      <c r="K763" t="s">
        <v>3247</v>
      </c>
      <c r="L763" t="s">
        <v>3486</v>
      </c>
      <c r="M763" t="s">
        <v>3487</v>
      </c>
      <c r="N763" t="s">
        <v>393</v>
      </c>
    </row>
    <row r="764" spans="1:14" ht="11.25" customHeight="1">
      <c r="A764" t="s">
        <v>2191</v>
      </c>
      <c r="B764" t="s">
        <v>14</v>
      </c>
      <c r="C764" t="s">
        <v>3594</v>
      </c>
      <c r="D764" t="s">
        <v>3595</v>
      </c>
      <c r="E764" t="s">
        <v>3596</v>
      </c>
      <c r="F764" t="s">
        <v>3502</v>
      </c>
      <c r="G764" t="s">
        <v>17</v>
      </c>
      <c r="H764" t="s">
        <v>17</v>
      </c>
      <c r="I764" t="s">
        <v>2319</v>
      </c>
      <c r="J764" t="s">
        <v>17</v>
      </c>
      <c r="K764" t="s">
        <v>3239</v>
      </c>
      <c r="L764" t="s">
        <v>3408</v>
      </c>
      <c r="M764" t="s">
        <v>3409</v>
      </c>
      <c r="N764" t="s">
        <v>393</v>
      </c>
    </row>
    <row r="765" spans="1:14" ht="11.25" customHeight="1">
      <c r="A765" t="s">
        <v>2191</v>
      </c>
      <c r="B765" t="s">
        <v>14</v>
      </c>
      <c r="C765" t="s">
        <v>3594</v>
      </c>
      <c r="D765" t="s">
        <v>3595</v>
      </c>
      <c r="E765" t="s">
        <v>3596</v>
      </c>
      <c r="F765" t="s">
        <v>3502</v>
      </c>
      <c r="G765" t="s">
        <v>17</v>
      </c>
      <c r="H765" t="s">
        <v>17</v>
      </c>
      <c r="I765" t="s">
        <v>2319</v>
      </c>
      <c r="J765" t="s">
        <v>17</v>
      </c>
      <c r="K765" t="s">
        <v>3247</v>
      </c>
      <c r="L765" t="s">
        <v>3408</v>
      </c>
      <c r="M765" t="s">
        <v>3409</v>
      </c>
      <c r="N765" t="s">
        <v>393</v>
      </c>
    </row>
    <row r="766" spans="1:14" ht="11.25" customHeight="1">
      <c r="A766" t="s">
        <v>2191</v>
      </c>
      <c r="B766" t="s">
        <v>14</v>
      </c>
      <c r="C766" t="s">
        <v>3112</v>
      </c>
      <c r="D766" t="s">
        <v>3113</v>
      </c>
      <c r="E766" t="s">
        <v>3114</v>
      </c>
      <c r="F766" t="s">
        <v>2530</v>
      </c>
      <c r="G766" t="s">
        <v>17</v>
      </c>
      <c r="H766" t="s">
        <v>17</v>
      </c>
      <c r="I766" t="s">
        <v>2319</v>
      </c>
      <c r="J766" t="s">
        <v>17</v>
      </c>
      <c r="K766" t="s">
        <v>3239</v>
      </c>
      <c r="L766" t="s">
        <v>3240</v>
      </c>
      <c r="M766" t="s">
        <v>3241</v>
      </c>
      <c r="N766" t="s">
        <v>393</v>
      </c>
    </row>
    <row r="767" spans="1:14" ht="11.25" customHeight="1">
      <c r="A767" t="s">
        <v>2191</v>
      </c>
      <c r="B767" t="s">
        <v>14</v>
      </c>
      <c r="C767" t="s">
        <v>3115</v>
      </c>
      <c r="D767" t="s">
        <v>3116</v>
      </c>
      <c r="E767" t="s">
        <v>3117</v>
      </c>
      <c r="F767" t="s">
        <v>2262</v>
      </c>
      <c r="G767" t="s">
        <v>17</v>
      </c>
      <c r="H767" t="s">
        <v>17</v>
      </c>
      <c r="I767" t="s">
        <v>2458</v>
      </c>
      <c r="J767" t="s">
        <v>17</v>
      </c>
      <c r="K767" t="s">
        <v>3239</v>
      </c>
      <c r="L767" t="s">
        <v>3271</v>
      </c>
      <c r="M767" t="s">
        <v>3272</v>
      </c>
      <c r="N767" t="s">
        <v>393</v>
      </c>
    </row>
    <row r="768" spans="1:14" ht="11.25" customHeight="1">
      <c r="A768" t="s">
        <v>2191</v>
      </c>
      <c r="B768" t="s">
        <v>14</v>
      </c>
      <c r="C768" t="s">
        <v>3115</v>
      </c>
      <c r="D768" t="s">
        <v>3116</v>
      </c>
      <c r="E768" t="s">
        <v>3117</v>
      </c>
      <c r="F768" t="s">
        <v>2262</v>
      </c>
      <c r="G768" t="s">
        <v>17</v>
      </c>
      <c r="H768" t="s">
        <v>17</v>
      </c>
      <c r="I768" t="s">
        <v>2458</v>
      </c>
      <c r="J768" t="s">
        <v>17</v>
      </c>
      <c r="K768" t="s">
        <v>3247</v>
      </c>
      <c r="L768" t="s">
        <v>3271</v>
      </c>
      <c r="M768" t="s">
        <v>3272</v>
      </c>
      <c r="N768" t="s">
        <v>393</v>
      </c>
    </row>
    <row r="769" spans="1:14" ht="11.25" customHeight="1">
      <c r="A769" t="s">
        <v>2191</v>
      </c>
      <c r="B769" t="s">
        <v>14</v>
      </c>
      <c r="C769" t="s">
        <v>3122</v>
      </c>
      <c r="D769" t="s">
        <v>3123</v>
      </c>
      <c r="E769" t="s">
        <v>3124</v>
      </c>
      <c r="F769" t="s">
        <v>2340</v>
      </c>
      <c r="G769" t="s">
        <v>17</v>
      </c>
      <c r="H769" t="s">
        <v>17</v>
      </c>
      <c r="I769" t="s">
        <v>3597</v>
      </c>
      <c r="J769" t="s">
        <v>17</v>
      </c>
      <c r="K769" t="s">
        <v>3239</v>
      </c>
      <c r="L769" t="s">
        <v>3245</v>
      </c>
      <c r="M769" t="s">
        <v>3246</v>
      </c>
      <c r="N769" t="s">
        <v>393</v>
      </c>
    </row>
    <row r="770" spans="1:14" ht="11.25" customHeight="1">
      <c r="A770" t="s">
        <v>2191</v>
      </c>
      <c r="B770" t="s">
        <v>14</v>
      </c>
      <c r="C770" t="s">
        <v>3122</v>
      </c>
      <c r="D770" t="s">
        <v>3123</v>
      </c>
      <c r="E770" t="s">
        <v>3124</v>
      </c>
      <c r="F770" t="s">
        <v>2340</v>
      </c>
      <c r="G770" t="s">
        <v>17</v>
      </c>
      <c r="H770" t="s">
        <v>17</v>
      </c>
      <c r="I770" t="s">
        <v>3597</v>
      </c>
      <c r="J770" t="s">
        <v>17</v>
      </c>
      <c r="K770" t="s">
        <v>3247</v>
      </c>
      <c r="L770" t="s">
        <v>3245</v>
      </c>
      <c r="M770" t="s">
        <v>3246</v>
      </c>
      <c r="N770" t="s">
        <v>393</v>
      </c>
    </row>
    <row r="771" spans="1:14" ht="11.25" customHeight="1">
      <c r="A771" t="s">
        <v>2191</v>
      </c>
      <c r="B771" t="s">
        <v>14</v>
      </c>
      <c r="C771" t="s">
        <v>3131</v>
      </c>
      <c r="D771" t="s">
        <v>3132</v>
      </c>
      <c r="E771" t="s">
        <v>3133</v>
      </c>
      <c r="F771" t="s">
        <v>2451</v>
      </c>
      <c r="G771" t="s">
        <v>17</v>
      </c>
      <c r="H771" t="s">
        <v>17</v>
      </c>
      <c r="I771" t="s">
        <v>2319</v>
      </c>
      <c r="J771" t="s">
        <v>17</v>
      </c>
      <c r="K771" t="s">
        <v>3239</v>
      </c>
      <c r="L771" t="s">
        <v>3245</v>
      </c>
      <c r="M771" t="s">
        <v>3246</v>
      </c>
      <c r="N771" t="s">
        <v>393</v>
      </c>
    </row>
    <row r="772" spans="1:14" ht="11.25" customHeight="1">
      <c r="A772" t="s">
        <v>2191</v>
      </c>
      <c r="B772" t="s">
        <v>14</v>
      </c>
      <c r="C772" t="s">
        <v>3131</v>
      </c>
      <c r="D772" t="s">
        <v>3132</v>
      </c>
      <c r="E772" t="s">
        <v>3133</v>
      </c>
      <c r="F772" t="s">
        <v>2451</v>
      </c>
      <c r="G772" t="s">
        <v>17</v>
      </c>
      <c r="H772" t="s">
        <v>17</v>
      </c>
      <c r="I772" t="s">
        <v>2319</v>
      </c>
      <c r="J772" t="s">
        <v>17</v>
      </c>
      <c r="K772" t="s">
        <v>3247</v>
      </c>
      <c r="L772" t="s">
        <v>3245</v>
      </c>
      <c r="M772" t="s">
        <v>3246</v>
      </c>
      <c r="N772" t="s">
        <v>393</v>
      </c>
    </row>
    <row r="773" spans="1:14" ht="11.25" customHeight="1">
      <c r="A773" t="s">
        <v>2191</v>
      </c>
      <c r="B773" t="s">
        <v>14</v>
      </c>
      <c r="C773" t="s">
        <v>3134</v>
      </c>
      <c r="D773" t="s">
        <v>3135</v>
      </c>
      <c r="E773" t="s">
        <v>3136</v>
      </c>
      <c r="F773" t="s">
        <v>2677</v>
      </c>
      <c r="G773" t="s">
        <v>17</v>
      </c>
      <c r="H773" t="s">
        <v>17</v>
      </c>
      <c r="I773" t="s">
        <v>2442</v>
      </c>
      <c r="J773" t="s">
        <v>17</v>
      </c>
      <c r="K773" t="s">
        <v>3239</v>
      </c>
      <c r="L773" t="s">
        <v>3245</v>
      </c>
      <c r="M773" t="s">
        <v>3246</v>
      </c>
      <c r="N773" t="s">
        <v>393</v>
      </c>
    </row>
    <row r="774" spans="1:14" ht="11.25" customHeight="1">
      <c r="A774" t="s">
        <v>2191</v>
      </c>
      <c r="B774" t="s">
        <v>14</v>
      </c>
      <c r="C774" t="s">
        <v>3134</v>
      </c>
      <c r="D774" t="s">
        <v>3135</v>
      </c>
      <c r="E774" t="s">
        <v>3136</v>
      </c>
      <c r="F774" t="s">
        <v>2677</v>
      </c>
      <c r="G774" t="s">
        <v>17</v>
      </c>
      <c r="H774" t="s">
        <v>17</v>
      </c>
      <c r="I774" t="s">
        <v>2442</v>
      </c>
      <c r="J774" t="s">
        <v>17</v>
      </c>
      <c r="K774" t="s">
        <v>3247</v>
      </c>
      <c r="L774" t="s">
        <v>3245</v>
      </c>
      <c r="M774" t="s">
        <v>3246</v>
      </c>
      <c r="N774" t="s">
        <v>393</v>
      </c>
    </row>
    <row r="775" spans="1:14" ht="11.25" customHeight="1">
      <c r="A775" t="s">
        <v>2191</v>
      </c>
      <c r="B775" t="s">
        <v>14</v>
      </c>
      <c r="C775" t="s">
        <v>3598</v>
      </c>
      <c r="D775" t="s">
        <v>3599</v>
      </c>
      <c r="E775" t="s">
        <v>3600</v>
      </c>
      <c r="F775" t="s">
        <v>2712</v>
      </c>
      <c r="G775" t="s">
        <v>17</v>
      </c>
      <c r="H775" t="s">
        <v>17</v>
      </c>
      <c r="I775" t="s">
        <v>2235</v>
      </c>
      <c r="J775" t="s">
        <v>17</v>
      </c>
      <c r="K775" t="s">
        <v>3239</v>
      </c>
      <c r="L775" t="s">
        <v>3245</v>
      </c>
      <c r="M775" t="s">
        <v>3246</v>
      </c>
      <c r="N775" t="s">
        <v>393</v>
      </c>
    </row>
    <row r="776" spans="1:14" ht="11.25" customHeight="1">
      <c r="A776" t="s">
        <v>2191</v>
      </c>
      <c r="B776" t="s">
        <v>14</v>
      </c>
      <c r="C776" t="s">
        <v>3598</v>
      </c>
      <c r="D776" t="s">
        <v>3599</v>
      </c>
      <c r="E776" t="s">
        <v>3600</v>
      </c>
      <c r="F776" t="s">
        <v>2712</v>
      </c>
      <c r="G776" t="s">
        <v>17</v>
      </c>
      <c r="H776" t="s">
        <v>17</v>
      </c>
      <c r="I776" t="s">
        <v>2235</v>
      </c>
      <c r="J776" t="s">
        <v>17</v>
      </c>
      <c r="K776" t="s">
        <v>3247</v>
      </c>
      <c r="L776" t="s">
        <v>3245</v>
      </c>
      <c r="M776" t="s">
        <v>3246</v>
      </c>
      <c r="N776" t="s">
        <v>393</v>
      </c>
    </row>
    <row r="777" spans="1:14" ht="11.25" customHeight="1">
      <c r="A777" t="s">
        <v>2191</v>
      </c>
      <c r="B777" t="s">
        <v>14</v>
      </c>
      <c r="C777" t="s">
        <v>3601</v>
      </c>
      <c r="D777" t="s">
        <v>3602</v>
      </c>
      <c r="E777" t="s">
        <v>3603</v>
      </c>
      <c r="F777" t="s">
        <v>2447</v>
      </c>
      <c r="G777" t="s">
        <v>3604</v>
      </c>
      <c r="H777" t="s">
        <v>17</v>
      </c>
      <c r="I777" t="s">
        <v>2319</v>
      </c>
      <c r="J777" t="s">
        <v>17</v>
      </c>
      <c r="K777" t="s">
        <v>3239</v>
      </c>
      <c r="L777" t="s">
        <v>3245</v>
      </c>
      <c r="M777" t="s">
        <v>3246</v>
      </c>
      <c r="N777" t="s">
        <v>393</v>
      </c>
    </row>
    <row r="778" spans="1:14" ht="11.25" customHeight="1">
      <c r="A778" t="s">
        <v>2191</v>
      </c>
      <c r="B778" t="s">
        <v>14</v>
      </c>
      <c r="C778" t="s">
        <v>3601</v>
      </c>
      <c r="D778" t="s">
        <v>3602</v>
      </c>
      <c r="E778" t="s">
        <v>3603</v>
      </c>
      <c r="F778" t="s">
        <v>2447</v>
      </c>
      <c r="G778" t="s">
        <v>3604</v>
      </c>
      <c r="H778" t="s">
        <v>17</v>
      </c>
      <c r="I778" t="s">
        <v>2319</v>
      </c>
      <c r="J778" t="s">
        <v>17</v>
      </c>
      <c r="K778" t="s">
        <v>3247</v>
      </c>
      <c r="L778" t="s">
        <v>3245</v>
      </c>
      <c r="M778" t="s">
        <v>3246</v>
      </c>
      <c r="N778" t="s">
        <v>393</v>
      </c>
    </row>
    <row r="779" spans="1:14" ht="11.25" customHeight="1">
      <c r="A779" t="s">
        <v>2191</v>
      </c>
      <c r="B779" t="s">
        <v>14</v>
      </c>
      <c r="C779" t="s">
        <v>3605</v>
      </c>
      <c r="D779" t="s">
        <v>3606</v>
      </c>
      <c r="E779" t="s">
        <v>3607</v>
      </c>
      <c r="F779" t="s">
        <v>2677</v>
      </c>
      <c r="G779" t="s">
        <v>17</v>
      </c>
      <c r="H779" t="s">
        <v>17</v>
      </c>
      <c r="I779" t="s">
        <v>2442</v>
      </c>
      <c r="J779" t="s">
        <v>17</v>
      </c>
      <c r="K779" t="s">
        <v>3239</v>
      </c>
      <c r="L779" t="s">
        <v>3245</v>
      </c>
      <c r="M779" t="s">
        <v>3246</v>
      </c>
      <c r="N779" t="s">
        <v>393</v>
      </c>
    </row>
    <row r="780" spans="1:14" ht="11.25" customHeight="1">
      <c r="A780" t="s">
        <v>2191</v>
      </c>
      <c r="B780" t="s">
        <v>14</v>
      </c>
      <c r="C780" t="s">
        <v>3605</v>
      </c>
      <c r="D780" t="s">
        <v>3606</v>
      </c>
      <c r="E780" t="s">
        <v>3607</v>
      </c>
      <c r="F780" t="s">
        <v>2677</v>
      </c>
      <c r="G780" t="s">
        <v>17</v>
      </c>
      <c r="H780" t="s">
        <v>17</v>
      </c>
      <c r="I780" t="s">
        <v>2442</v>
      </c>
      <c r="J780" t="s">
        <v>17</v>
      </c>
      <c r="K780" t="s">
        <v>3247</v>
      </c>
      <c r="L780" t="s">
        <v>3245</v>
      </c>
      <c r="M780" t="s">
        <v>3246</v>
      </c>
      <c r="N780" t="s">
        <v>393</v>
      </c>
    </row>
    <row r="781" spans="1:14" ht="11.25" customHeight="1">
      <c r="A781" t="s">
        <v>2191</v>
      </c>
      <c r="B781" t="s">
        <v>14</v>
      </c>
      <c r="C781" t="s">
        <v>3141</v>
      </c>
      <c r="D781" t="s">
        <v>3142</v>
      </c>
      <c r="E781" t="s">
        <v>3143</v>
      </c>
      <c r="F781" t="s">
        <v>2447</v>
      </c>
      <c r="G781" t="s">
        <v>17</v>
      </c>
      <c r="H781" t="s">
        <v>17</v>
      </c>
      <c r="I781" t="s">
        <v>2319</v>
      </c>
      <c r="J781" t="s">
        <v>17</v>
      </c>
      <c r="K781" t="s">
        <v>3239</v>
      </c>
      <c r="L781" t="s">
        <v>3245</v>
      </c>
      <c r="M781" t="s">
        <v>3246</v>
      </c>
      <c r="N781" t="s">
        <v>393</v>
      </c>
    </row>
    <row r="782" spans="1:14" ht="11.25" customHeight="1">
      <c r="A782" t="s">
        <v>2191</v>
      </c>
      <c r="B782" t="s">
        <v>14</v>
      </c>
      <c r="C782" t="s">
        <v>3141</v>
      </c>
      <c r="D782" t="s">
        <v>3142</v>
      </c>
      <c r="E782" t="s">
        <v>3143</v>
      </c>
      <c r="F782" t="s">
        <v>2447</v>
      </c>
      <c r="G782" t="s">
        <v>17</v>
      </c>
      <c r="H782" t="s">
        <v>17</v>
      </c>
      <c r="I782" t="s">
        <v>2319</v>
      </c>
      <c r="J782" t="s">
        <v>17</v>
      </c>
      <c r="K782" t="s">
        <v>3247</v>
      </c>
      <c r="L782" t="s">
        <v>3245</v>
      </c>
      <c r="M782" t="s">
        <v>3246</v>
      </c>
      <c r="N782" t="s">
        <v>393</v>
      </c>
    </row>
    <row r="783" spans="1:14" ht="11.25" customHeight="1">
      <c r="A783" t="s">
        <v>2191</v>
      </c>
      <c r="B783" t="s">
        <v>14</v>
      </c>
      <c r="C783" t="s">
        <v>3148</v>
      </c>
      <c r="D783" t="s">
        <v>3149</v>
      </c>
      <c r="E783" t="s">
        <v>3150</v>
      </c>
      <c r="F783" t="s">
        <v>3151</v>
      </c>
      <c r="G783" t="s">
        <v>17</v>
      </c>
      <c r="H783" t="s">
        <v>17</v>
      </c>
      <c r="I783" t="s">
        <v>3152</v>
      </c>
      <c r="J783" t="s">
        <v>17</v>
      </c>
      <c r="K783" t="s">
        <v>3239</v>
      </c>
      <c r="L783" t="s">
        <v>3608</v>
      </c>
      <c r="M783" t="s">
        <v>3609</v>
      </c>
      <c r="N783" t="s">
        <v>393</v>
      </c>
    </row>
    <row r="784" spans="1:14" ht="11.25" customHeight="1">
      <c r="A784" t="s">
        <v>2191</v>
      </c>
      <c r="B784" t="s">
        <v>14</v>
      </c>
      <c r="C784" t="s">
        <v>3148</v>
      </c>
      <c r="D784" t="s">
        <v>3149</v>
      </c>
      <c r="E784" t="s">
        <v>3150</v>
      </c>
      <c r="F784" t="s">
        <v>3151</v>
      </c>
      <c r="G784" t="s">
        <v>17</v>
      </c>
      <c r="H784" t="s">
        <v>17</v>
      </c>
      <c r="I784" t="s">
        <v>3152</v>
      </c>
      <c r="J784" t="s">
        <v>17</v>
      </c>
      <c r="K784" t="s">
        <v>3247</v>
      </c>
      <c r="L784" t="s">
        <v>3608</v>
      </c>
      <c r="M784" t="s">
        <v>3609</v>
      </c>
      <c r="N784" t="s">
        <v>393</v>
      </c>
    </row>
    <row r="785" spans="1:14" ht="11.25" customHeight="1">
      <c r="A785" t="s">
        <v>2191</v>
      </c>
      <c r="B785" t="s">
        <v>14</v>
      </c>
      <c r="C785" t="s">
        <v>3148</v>
      </c>
      <c r="D785" t="s">
        <v>3149</v>
      </c>
      <c r="E785" t="s">
        <v>3150</v>
      </c>
      <c r="F785" t="s">
        <v>3151</v>
      </c>
      <c r="G785" t="s">
        <v>17</v>
      </c>
      <c r="H785" t="s">
        <v>17</v>
      </c>
      <c r="I785" t="s">
        <v>2319</v>
      </c>
      <c r="J785" t="s">
        <v>17</v>
      </c>
      <c r="K785" t="s">
        <v>3247</v>
      </c>
      <c r="L785" t="s">
        <v>3260</v>
      </c>
      <c r="M785" t="s">
        <v>3578</v>
      </c>
      <c r="N785" t="s">
        <v>393</v>
      </c>
    </row>
    <row r="786" spans="1:14" ht="11.25" customHeight="1">
      <c r="A786" t="s">
        <v>2191</v>
      </c>
      <c r="B786" t="s">
        <v>14</v>
      </c>
      <c r="C786" t="s">
        <v>3148</v>
      </c>
      <c r="D786" t="s">
        <v>3149</v>
      </c>
      <c r="E786" t="s">
        <v>3150</v>
      </c>
      <c r="F786" t="s">
        <v>3151</v>
      </c>
      <c r="G786" t="s">
        <v>17</v>
      </c>
      <c r="H786" t="s">
        <v>17</v>
      </c>
      <c r="I786" t="s">
        <v>2319</v>
      </c>
      <c r="J786" t="s">
        <v>17</v>
      </c>
      <c r="K786" t="s">
        <v>3239</v>
      </c>
      <c r="L786" t="s">
        <v>3608</v>
      </c>
      <c r="M786" t="s">
        <v>3609</v>
      </c>
      <c r="N786" t="s">
        <v>393</v>
      </c>
    </row>
    <row r="787" spans="1:14" ht="11.25" customHeight="1">
      <c r="A787" t="s">
        <v>2191</v>
      </c>
      <c r="B787" t="s">
        <v>14</v>
      </c>
      <c r="C787" t="s">
        <v>3148</v>
      </c>
      <c r="D787" t="s">
        <v>3149</v>
      </c>
      <c r="E787" t="s">
        <v>3150</v>
      </c>
      <c r="F787" t="s">
        <v>3151</v>
      </c>
      <c r="G787" t="s">
        <v>17</v>
      </c>
      <c r="H787" t="s">
        <v>17</v>
      </c>
      <c r="I787" t="s">
        <v>2319</v>
      </c>
      <c r="J787" t="s">
        <v>17</v>
      </c>
      <c r="K787" t="s">
        <v>3247</v>
      </c>
      <c r="L787" t="s">
        <v>3608</v>
      </c>
      <c r="M787" t="s">
        <v>3609</v>
      </c>
      <c r="N787" t="s">
        <v>393</v>
      </c>
    </row>
    <row r="788" spans="1:14" ht="11.25" customHeight="1">
      <c r="A788" t="s">
        <v>2191</v>
      </c>
      <c r="B788" t="s">
        <v>14</v>
      </c>
      <c r="C788" t="s">
        <v>3162</v>
      </c>
      <c r="D788" t="s">
        <v>3163</v>
      </c>
      <c r="E788" t="s">
        <v>3164</v>
      </c>
      <c r="F788" t="s">
        <v>2248</v>
      </c>
      <c r="G788" t="s">
        <v>17</v>
      </c>
      <c r="H788" t="s">
        <v>17</v>
      </c>
      <c r="I788" t="s">
        <v>2442</v>
      </c>
      <c r="J788" t="s">
        <v>17</v>
      </c>
      <c r="K788" t="s">
        <v>3239</v>
      </c>
      <c r="L788" t="s">
        <v>3245</v>
      </c>
      <c r="M788" t="s">
        <v>3246</v>
      </c>
      <c r="N788" t="s">
        <v>393</v>
      </c>
    </row>
    <row r="789" spans="1:14" ht="11.25" customHeight="1">
      <c r="A789" t="s">
        <v>2191</v>
      </c>
      <c r="B789" t="s">
        <v>14</v>
      </c>
      <c r="C789" t="s">
        <v>3162</v>
      </c>
      <c r="D789" t="s">
        <v>3163</v>
      </c>
      <c r="E789" t="s">
        <v>3164</v>
      </c>
      <c r="F789" t="s">
        <v>2248</v>
      </c>
      <c r="G789" t="s">
        <v>17</v>
      </c>
      <c r="H789" t="s">
        <v>17</v>
      </c>
      <c r="I789" t="s">
        <v>2442</v>
      </c>
      <c r="J789" t="s">
        <v>17</v>
      </c>
      <c r="K789" t="s">
        <v>3247</v>
      </c>
      <c r="L789" t="s">
        <v>3245</v>
      </c>
      <c r="M789" t="s">
        <v>3246</v>
      </c>
      <c r="N789" t="s">
        <v>393</v>
      </c>
    </row>
    <row r="790" spans="1:14" ht="11.25" customHeight="1">
      <c r="A790" t="s">
        <v>2191</v>
      </c>
      <c r="B790" t="s">
        <v>14</v>
      </c>
      <c r="C790" t="s">
        <v>3162</v>
      </c>
      <c r="D790" t="s">
        <v>3163</v>
      </c>
      <c r="E790" t="s">
        <v>3164</v>
      </c>
      <c r="F790" t="s">
        <v>2248</v>
      </c>
      <c r="G790" t="s">
        <v>17</v>
      </c>
      <c r="H790" t="s">
        <v>17</v>
      </c>
      <c r="I790" t="s">
        <v>2235</v>
      </c>
      <c r="J790" t="s">
        <v>17</v>
      </c>
      <c r="K790" t="s">
        <v>3239</v>
      </c>
      <c r="L790" t="s">
        <v>3245</v>
      </c>
      <c r="M790" t="s">
        <v>3246</v>
      </c>
      <c r="N790" t="s">
        <v>393</v>
      </c>
    </row>
    <row r="791" spans="1:14" ht="11.25" customHeight="1">
      <c r="A791" t="s">
        <v>2191</v>
      </c>
      <c r="B791" t="s">
        <v>14</v>
      </c>
      <c r="C791" t="s">
        <v>3162</v>
      </c>
      <c r="D791" t="s">
        <v>3163</v>
      </c>
      <c r="E791" t="s">
        <v>3164</v>
      </c>
      <c r="F791" t="s">
        <v>2248</v>
      </c>
      <c r="G791" t="s">
        <v>17</v>
      </c>
      <c r="H791" t="s">
        <v>17</v>
      </c>
      <c r="I791" t="s">
        <v>2235</v>
      </c>
      <c r="J791" t="s">
        <v>17</v>
      </c>
      <c r="K791" t="s">
        <v>3247</v>
      </c>
      <c r="L791" t="s">
        <v>3245</v>
      </c>
      <c r="M791" t="s">
        <v>3246</v>
      </c>
      <c r="N791" t="s">
        <v>393</v>
      </c>
    </row>
    <row r="792" spans="1:14" ht="11.25" customHeight="1">
      <c r="A792" t="s">
        <v>2191</v>
      </c>
      <c r="B792" t="s">
        <v>14</v>
      </c>
      <c r="C792" t="s">
        <v>3610</v>
      </c>
      <c r="D792" t="s">
        <v>3611</v>
      </c>
      <c r="E792" t="s">
        <v>3612</v>
      </c>
      <c r="F792" t="s">
        <v>2550</v>
      </c>
      <c r="G792" t="s">
        <v>17</v>
      </c>
      <c r="H792" t="s">
        <v>17</v>
      </c>
      <c r="I792" t="s">
        <v>2486</v>
      </c>
      <c r="J792" t="s">
        <v>17</v>
      </c>
      <c r="K792" t="s">
        <v>3239</v>
      </c>
      <c r="L792" t="s">
        <v>3474</v>
      </c>
      <c r="M792" t="s">
        <v>3475</v>
      </c>
      <c r="N792" t="s">
        <v>393</v>
      </c>
    </row>
    <row r="793" spans="1:14" ht="11.25" customHeight="1">
      <c r="A793" t="s">
        <v>2191</v>
      </c>
      <c r="B793" t="s">
        <v>14</v>
      </c>
      <c r="C793" t="s">
        <v>3610</v>
      </c>
      <c r="D793" t="s">
        <v>3611</v>
      </c>
      <c r="E793" t="s">
        <v>3612</v>
      </c>
      <c r="F793" t="s">
        <v>2550</v>
      </c>
      <c r="G793" t="s">
        <v>17</v>
      </c>
      <c r="H793" t="s">
        <v>17</v>
      </c>
      <c r="I793" t="s">
        <v>2486</v>
      </c>
      <c r="J793" t="s">
        <v>17</v>
      </c>
      <c r="K793" t="s">
        <v>3247</v>
      </c>
      <c r="L793" t="s">
        <v>3474</v>
      </c>
      <c r="M793" t="s">
        <v>3475</v>
      </c>
      <c r="N793" t="s">
        <v>393</v>
      </c>
    </row>
    <row r="794" spans="1:14" ht="11.25" customHeight="1">
      <c r="A794" t="s">
        <v>2191</v>
      </c>
      <c r="B794" t="s">
        <v>14</v>
      </c>
      <c r="C794" t="s">
        <v>3178</v>
      </c>
      <c r="D794" t="s">
        <v>3179</v>
      </c>
      <c r="E794" t="s">
        <v>3180</v>
      </c>
      <c r="F794" t="s">
        <v>2410</v>
      </c>
      <c r="G794" t="s">
        <v>17</v>
      </c>
      <c r="H794" t="s">
        <v>17</v>
      </c>
      <c r="I794" t="s">
        <v>2319</v>
      </c>
      <c r="J794" t="s">
        <v>17</v>
      </c>
      <c r="K794" t="s">
        <v>3239</v>
      </c>
      <c r="L794" t="s">
        <v>3245</v>
      </c>
      <c r="M794" t="s">
        <v>3246</v>
      </c>
      <c r="N794" t="s">
        <v>393</v>
      </c>
    </row>
    <row r="795" spans="1:14" ht="11.25" customHeight="1">
      <c r="A795" t="s">
        <v>2191</v>
      </c>
      <c r="B795" t="s">
        <v>14</v>
      </c>
      <c r="C795" t="s">
        <v>3178</v>
      </c>
      <c r="D795" t="s">
        <v>3179</v>
      </c>
      <c r="E795" t="s">
        <v>3180</v>
      </c>
      <c r="F795" t="s">
        <v>2410</v>
      </c>
      <c r="G795" t="s">
        <v>17</v>
      </c>
      <c r="H795" t="s">
        <v>17</v>
      </c>
      <c r="I795" t="s">
        <v>2319</v>
      </c>
      <c r="J795" t="s">
        <v>17</v>
      </c>
      <c r="K795" t="s">
        <v>3247</v>
      </c>
      <c r="L795" t="s">
        <v>3245</v>
      </c>
      <c r="M795" t="s">
        <v>3246</v>
      </c>
      <c r="N795" t="s">
        <v>393</v>
      </c>
    </row>
    <row r="796" spans="1:14" ht="11.25" customHeight="1">
      <c r="A796" t="s">
        <v>2191</v>
      </c>
      <c r="B796" t="s">
        <v>14</v>
      </c>
      <c r="C796" t="s">
        <v>3184</v>
      </c>
      <c r="D796" t="s">
        <v>3185</v>
      </c>
      <c r="E796" t="s">
        <v>3186</v>
      </c>
      <c r="F796" t="s">
        <v>2451</v>
      </c>
      <c r="G796" t="s">
        <v>3187</v>
      </c>
      <c r="H796" t="s">
        <v>17</v>
      </c>
      <c r="I796" t="s">
        <v>2319</v>
      </c>
      <c r="J796" t="s">
        <v>17</v>
      </c>
      <c r="K796" t="s">
        <v>3239</v>
      </c>
      <c r="L796" t="s">
        <v>3240</v>
      </c>
      <c r="M796" t="s">
        <v>3241</v>
      </c>
      <c r="N796" t="s">
        <v>393</v>
      </c>
    </row>
    <row r="797" spans="1:14" ht="11.25" customHeight="1">
      <c r="A797" t="s">
        <v>2191</v>
      </c>
      <c r="B797" t="s">
        <v>14</v>
      </c>
      <c r="C797" t="s">
        <v>3188</v>
      </c>
      <c r="D797" t="s">
        <v>3189</v>
      </c>
      <c r="E797" t="s">
        <v>3190</v>
      </c>
      <c r="F797" t="s">
        <v>3191</v>
      </c>
      <c r="G797" t="s">
        <v>17</v>
      </c>
      <c r="H797" t="s">
        <v>17</v>
      </c>
      <c r="I797" t="s">
        <v>2841</v>
      </c>
      <c r="J797" t="s">
        <v>17</v>
      </c>
      <c r="K797" t="s">
        <v>3239</v>
      </c>
      <c r="L797" t="s">
        <v>3251</v>
      </c>
      <c r="M797" t="s">
        <v>3252</v>
      </c>
      <c r="N797" t="s">
        <v>393</v>
      </c>
    </row>
    <row r="798" spans="1:14" ht="11.25" customHeight="1">
      <c r="A798" t="s">
        <v>2191</v>
      </c>
      <c r="B798" t="s">
        <v>14</v>
      </c>
      <c r="C798" t="s">
        <v>3188</v>
      </c>
      <c r="D798" t="s">
        <v>3189</v>
      </c>
      <c r="E798" t="s">
        <v>3190</v>
      </c>
      <c r="F798" t="s">
        <v>3191</v>
      </c>
      <c r="G798" t="s">
        <v>17</v>
      </c>
      <c r="H798" t="s">
        <v>17</v>
      </c>
      <c r="I798" t="s">
        <v>2841</v>
      </c>
      <c r="J798" t="s">
        <v>17</v>
      </c>
      <c r="K798" t="s">
        <v>3247</v>
      </c>
      <c r="L798" t="s">
        <v>3251</v>
      </c>
      <c r="M798" t="s">
        <v>3252</v>
      </c>
      <c r="N798" t="s">
        <v>393</v>
      </c>
    </row>
    <row r="799" spans="1:14" ht="11.25" customHeight="1">
      <c r="A799" t="s">
        <v>2191</v>
      </c>
      <c r="B799" t="s">
        <v>14</v>
      </c>
      <c r="C799" t="s">
        <v>3234</v>
      </c>
      <c r="D799" t="s">
        <v>3235</v>
      </c>
      <c r="E799" t="s">
        <v>3236</v>
      </c>
      <c r="F799" t="s">
        <v>3237</v>
      </c>
      <c r="G799" t="s">
        <v>17</v>
      </c>
      <c r="H799" t="s">
        <v>17</v>
      </c>
      <c r="I799" t="s">
        <v>3238</v>
      </c>
      <c r="J799" t="s">
        <v>17</v>
      </c>
      <c r="K799" t="s">
        <v>3613</v>
      </c>
      <c r="L799" t="s">
        <v>3614</v>
      </c>
      <c r="M799" t="s">
        <v>3615</v>
      </c>
      <c r="N799" t="s">
        <v>394</v>
      </c>
    </row>
    <row r="800" spans="1:14" ht="11.25" customHeight="1">
      <c r="A800" t="s">
        <v>2191</v>
      </c>
      <c r="B800" t="s">
        <v>14</v>
      </c>
      <c r="C800" t="s">
        <v>3616</v>
      </c>
      <c r="D800" t="s">
        <v>3617</v>
      </c>
      <c r="E800" t="s">
        <v>3618</v>
      </c>
      <c r="F800" t="s">
        <v>2257</v>
      </c>
      <c r="G800" t="s">
        <v>17</v>
      </c>
      <c r="H800" t="s">
        <v>17</v>
      </c>
      <c r="I800" t="s">
        <v>2196</v>
      </c>
      <c r="J800" t="s">
        <v>17</v>
      </c>
      <c r="K800" t="s">
        <v>3613</v>
      </c>
      <c r="L800" t="s">
        <v>3614</v>
      </c>
      <c r="M800" t="s">
        <v>3615</v>
      </c>
      <c r="N800" t="s">
        <v>394</v>
      </c>
    </row>
    <row r="801" spans="1:14" ht="11.25" customHeight="1">
      <c r="A801" t="s">
        <v>2191</v>
      </c>
      <c r="B801" t="s">
        <v>14</v>
      </c>
      <c r="C801" t="s">
        <v>3242</v>
      </c>
      <c r="D801" t="s">
        <v>3243</v>
      </c>
      <c r="E801" t="s">
        <v>3244</v>
      </c>
      <c r="F801" t="s">
        <v>2257</v>
      </c>
      <c r="G801" t="s">
        <v>17</v>
      </c>
      <c r="H801" t="s">
        <v>17</v>
      </c>
      <c r="I801" t="s">
        <v>2196</v>
      </c>
      <c r="J801" t="s">
        <v>17</v>
      </c>
      <c r="K801" t="s">
        <v>3613</v>
      </c>
      <c r="L801" t="s">
        <v>3614</v>
      </c>
      <c r="M801" t="s">
        <v>3615</v>
      </c>
      <c r="N801" t="s">
        <v>394</v>
      </c>
    </row>
    <row r="802" spans="1:14" ht="11.25" customHeight="1">
      <c r="A802" t="s">
        <v>2191</v>
      </c>
      <c r="B802" t="s">
        <v>14</v>
      </c>
      <c r="C802" t="s">
        <v>2214</v>
      </c>
      <c r="D802" t="s">
        <v>2215</v>
      </c>
      <c r="E802" t="s">
        <v>2216</v>
      </c>
      <c r="F802" t="s">
        <v>2217</v>
      </c>
      <c r="G802" t="s">
        <v>17</v>
      </c>
      <c r="H802" t="s">
        <v>17</v>
      </c>
      <c r="I802" t="s">
        <v>2196</v>
      </c>
      <c r="J802" t="s">
        <v>17</v>
      </c>
      <c r="K802" t="s">
        <v>3613</v>
      </c>
      <c r="L802" t="s">
        <v>3614</v>
      </c>
      <c r="M802" t="s">
        <v>3615</v>
      </c>
      <c r="N802" t="s">
        <v>394</v>
      </c>
    </row>
    <row r="803" spans="1:14" ht="11.25" customHeight="1">
      <c r="A803" t="s">
        <v>2191</v>
      </c>
      <c r="B803" t="s">
        <v>14</v>
      </c>
      <c r="C803" t="s">
        <v>3248</v>
      </c>
      <c r="D803" t="s">
        <v>3249</v>
      </c>
      <c r="E803" t="s">
        <v>3250</v>
      </c>
      <c r="F803" t="s">
        <v>2217</v>
      </c>
      <c r="G803" t="s">
        <v>17</v>
      </c>
      <c r="H803" t="s">
        <v>17</v>
      </c>
      <c r="I803" t="s">
        <v>2486</v>
      </c>
      <c r="J803" t="s">
        <v>17</v>
      </c>
      <c r="K803" t="s">
        <v>3613</v>
      </c>
      <c r="L803" t="s">
        <v>3614</v>
      </c>
      <c r="M803" t="s">
        <v>3615</v>
      </c>
      <c r="N803" t="s">
        <v>394</v>
      </c>
    </row>
    <row r="804" spans="1:14" ht="11.25" customHeight="1">
      <c r="A804" t="s">
        <v>2191</v>
      </c>
      <c r="B804" t="s">
        <v>14</v>
      </c>
      <c r="C804" t="s">
        <v>3253</v>
      </c>
      <c r="D804" t="s">
        <v>3254</v>
      </c>
      <c r="E804" t="s">
        <v>3255</v>
      </c>
      <c r="F804" t="s">
        <v>2248</v>
      </c>
      <c r="G804" t="s">
        <v>17</v>
      </c>
      <c r="H804" t="s">
        <v>17</v>
      </c>
      <c r="I804" t="s">
        <v>2196</v>
      </c>
      <c r="J804" t="s">
        <v>17</v>
      </c>
      <c r="K804" t="s">
        <v>3613</v>
      </c>
      <c r="L804" t="s">
        <v>3614</v>
      </c>
      <c r="M804" t="s">
        <v>3615</v>
      </c>
      <c r="N804" t="s">
        <v>394</v>
      </c>
    </row>
    <row r="805" spans="1:14" ht="11.25" customHeight="1">
      <c r="A805" t="s">
        <v>2191</v>
      </c>
      <c r="B805" t="s">
        <v>14</v>
      </c>
      <c r="C805" t="s">
        <v>2245</v>
      </c>
      <c r="D805" t="s">
        <v>2246</v>
      </c>
      <c r="E805" t="s">
        <v>2247</v>
      </c>
      <c r="F805" t="s">
        <v>2248</v>
      </c>
      <c r="G805" t="s">
        <v>17</v>
      </c>
      <c r="H805" t="s">
        <v>17</v>
      </c>
      <c r="I805" t="s">
        <v>3256</v>
      </c>
      <c r="J805" t="s">
        <v>17</v>
      </c>
      <c r="K805" t="s">
        <v>3613</v>
      </c>
      <c r="L805" t="s">
        <v>3614</v>
      </c>
      <c r="M805" t="s">
        <v>3615</v>
      </c>
      <c r="N805" t="s">
        <v>394</v>
      </c>
    </row>
    <row r="806" spans="1:14" ht="11.25" customHeight="1">
      <c r="A806" t="s">
        <v>2191</v>
      </c>
      <c r="B806" t="s">
        <v>14</v>
      </c>
      <c r="C806" t="s">
        <v>2254</v>
      </c>
      <c r="D806" t="s">
        <v>2255</v>
      </c>
      <c r="E806" t="s">
        <v>2256</v>
      </c>
      <c r="F806" t="s">
        <v>2257</v>
      </c>
      <c r="G806" t="s">
        <v>17</v>
      </c>
      <c r="H806" t="s">
        <v>17</v>
      </c>
      <c r="I806" t="s">
        <v>2258</v>
      </c>
      <c r="J806" t="s">
        <v>17</v>
      </c>
      <c r="K806" t="s">
        <v>3613</v>
      </c>
      <c r="L806" t="s">
        <v>3614</v>
      </c>
      <c r="M806" t="s">
        <v>3615</v>
      </c>
      <c r="N806" t="s">
        <v>394</v>
      </c>
    </row>
    <row r="807" spans="1:14" ht="11.25" customHeight="1">
      <c r="A807" t="s">
        <v>2191</v>
      </c>
      <c r="B807" t="s">
        <v>14</v>
      </c>
      <c r="C807" t="s">
        <v>2259</v>
      </c>
      <c r="D807" t="s">
        <v>2260</v>
      </c>
      <c r="E807" t="s">
        <v>2261</v>
      </c>
      <c r="F807" t="s">
        <v>2262</v>
      </c>
      <c r="G807" t="s">
        <v>17</v>
      </c>
      <c r="H807" t="s">
        <v>17</v>
      </c>
      <c r="I807" t="s">
        <v>3619</v>
      </c>
      <c r="J807" t="s">
        <v>2319</v>
      </c>
      <c r="K807" t="s">
        <v>3620</v>
      </c>
      <c r="L807" t="s">
        <v>3621</v>
      </c>
      <c r="M807" t="s">
        <v>3622</v>
      </c>
      <c r="N807" t="s">
        <v>394</v>
      </c>
    </row>
    <row r="808" spans="1:14" ht="11.25" customHeight="1">
      <c r="A808" t="s">
        <v>2191</v>
      </c>
      <c r="B808" t="s">
        <v>14</v>
      </c>
      <c r="C808" t="s">
        <v>3623</v>
      </c>
      <c r="D808" t="s">
        <v>3624</v>
      </c>
      <c r="E808" t="s">
        <v>3625</v>
      </c>
      <c r="F808" t="s">
        <v>2382</v>
      </c>
      <c r="G808" t="s">
        <v>17</v>
      </c>
      <c r="H808" t="s">
        <v>17</v>
      </c>
      <c r="I808" t="s">
        <v>3626</v>
      </c>
      <c r="J808" t="s">
        <v>17</v>
      </c>
      <c r="K808" t="s">
        <v>3613</v>
      </c>
      <c r="L808" t="s">
        <v>3614</v>
      </c>
      <c r="M808" t="s">
        <v>3615</v>
      </c>
      <c r="N808" t="s">
        <v>394</v>
      </c>
    </row>
    <row r="809" spans="1:14" ht="11.25" customHeight="1">
      <c r="A809" t="s">
        <v>2191</v>
      </c>
      <c r="B809" t="s">
        <v>14</v>
      </c>
      <c r="C809" t="s">
        <v>3257</v>
      </c>
      <c r="D809" t="s">
        <v>3258</v>
      </c>
      <c r="E809" t="s">
        <v>3259</v>
      </c>
      <c r="F809" t="s">
        <v>2248</v>
      </c>
      <c r="G809" t="s">
        <v>17</v>
      </c>
      <c r="H809" t="s">
        <v>17</v>
      </c>
      <c r="I809" t="s">
        <v>3627</v>
      </c>
      <c r="J809" t="s">
        <v>17</v>
      </c>
      <c r="K809" t="s">
        <v>3620</v>
      </c>
      <c r="L809" t="s">
        <v>3621</v>
      </c>
      <c r="M809" t="s">
        <v>3622</v>
      </c>
      <c r="N809" t="s">
        <v>394</v>
      </c>
    </row>
    <row r="810" spans="1:14" ht="11.25" customHeight="1">
      <c r="A810" t="s">
        <v>2191</v>
      </c>
      <c r="B810" t="s">
        <v>14</v>
      </c>
      <c r="C810" t="s">
        <v>3262</v>
      </c>
      <c r="D810" t="s">
        <v>3263</v>
      </c>
      <c r="E810" t="s">
        <v>3264</v>
      </c>
      <c r="F810" t="s">
        <v>2257</v>
      </c>
      <c r="G810" t="s">
        <v>17</v>
      </c>
      <c r="H810" t="s">
        <v>17</v>
      </c>
      <c r="I810" t="s">
        <v>3224</v>
      </c>
      <c r="J810" t="s">
        <v>17</v>
      </c>
      <c r="K810" t="s">
        <v>3613</v>
      </c>
      <c r="L810" t="s">
        <v>3614</v>
      </c>
      <c r="M810" t="s">
        <v>3615</v>
      </c>
      <c r="N810" t="s">
        <v>394</v>
      </c>
    </row>
    <row r="811" spans="1:14" ht="11.25" customHeight="1">
      <c r="A811" t="s">
        <v>2191</v>
      </c>
      <c r="B811" t="s">
        <v>14</v>
      </c>
      <c r="C811" t="s">
        <v>3268</v>
      </c>
      <c r="D811" t="s">
        <v>3269</v>
      </c>
      <c r="E811" t="s">
        <v>3270</v>
      </c>
      <c r="F811" t="s">
        <v>2195</v>
      </c>
      <c r="G811" t="s">
        <v>17</v>
      </c>
      <c r="H811" t="s">
        <v>17</v>
      </c>
      <c r="I811" t="s">
        <v>2196</v>
      </c>
      <c r="J811" t="s">
        <v>17</v>
      </c>
      <c r="K811" t="s">
        <v>3613</v>
      </c>
      <c r="L811" t="s">
        <v>3614</v>
      </c>
      <c r="M811" t="s">
        <v>3615</v>
      </c>
      <c r="N811" t="s">
        <v>394</v>
      </c>
    </row>
    <row r="812" spans="1:14" ht="11.25" customHeight="1">
      <c r="A812" t="s">
        <v>2191</v>
      </c>
      <c r="B812" t="s">
        <v>14</v>
      </c>
      <c r="C812" t="s">
        <v>3268</v>
      </c>
      <c r="D812" t="s">
        <v>3269</v>
      </c>
      <c r="E812" t="s">
        <v>3270</v>
      </c>
      <c r="F812" t="s">
        <v>2195</v>
      </c>
      <c r="G812" t="s">
        <v>17</v>
      </c>
      <c r="H812" t="s">
        <v>17</v>
      </c>
      <c r="I812" t="s">
        <v>2319</v>
      </c>
      <c r="J812" t="s">
        <v>17</v>
      </c>
      <c r="K812" t="s">
        <v>3613</v>
      </c>
      <c r="L812" t="s">
        <v>3614</v>
      </c>
      <c r="M812" t="s">
        <v>3615</v>
      </c>
      <c r="N812" t="s">
        <v>394</v>
      </c>
    </row>
    <row r="813" spans="1:14" ht="11.25" customHeight="1">
      <c r="A813" t="s">
        <v>2191</v>
      </c>
      <c r="B813" t="s">
        <v>14</v>
      </c>
      <c r="C813" t="s">
        <v>2305</v>
      </c>
      <c r="D813" t="s">
        <v>2306</v>
      </c>
      <c r="E813" t="s">
        <v>2307</v>
      </c>
      <c r="F813" t="s">
        <v>2308</v>
      </c>
      <c r="G813" t="s">
        <v>17</v>
      </c>
      <c r="H813" t="s">
        <v>17</v>
      </c>
      <c r="I813" t="s">
        <v>2235</v>
      </c>
      <c r="J813" t="s">
        <v>17</v>
      </c>
      <c r="K813" t="s">
        <v>3613</v>
      </c>
      <c r="L813" t="s">
        <v>3614</v>
      </c>
      <c r="M813" t="s">
        <v>3615</v>
      </c>
      <c r="N813" t="s">
        <v>394</v>
      </c>
    </row>
    <row r="814" spans="1:14" ht="11.25" customHeight="1">
      <c r="A814" t="s">
        <v>2191</v>
      </c>
      <c r="B814" t="s">
        <v>14</v>
      </c>
      <c r="C814" t="s">
        <v>2320</v>
      </c>
      <c r="D814" t="s">
        <v>2321</v>
      </c>
      <c r="E814" t="s">
        <v>2307</v>
      </c>
      <c r="F814" t="s">
        <v>2322</v>
      </c>
      <c r="G814" t="s">
        <v>17</v>
      </c>
      <c r="H814" t="s">
        <v>17</v>
      </c>
      <c r="I814" t="s">
        <v>2319</v>
      </c>
      <c r="J814" t="s">
        <v>17</v>
      </c>
      <c r="K814" t="s">
        <v>3613</v>
      </c>
      <c r="L814" t="s">
        <v>3614</v>
      </c>
      <c r="M814" t="s">
        <v>3615</v>
      </c>
      <c r="N814" t="s">
        <v>394</v>
      </c>
    </row>
    <row r="815" spans="1:14" ht="11.25" customHeight="1">
      <c r="A815" t="s">
        <v>2191</v>
      </c>
      <c r="B815" t="s">
        <v>14</v>
      </c>
      <c r="C815" t="s">
        <v>2327</v>
      </c>
      <c r="D815" t="s">
        <v>2328</v>
      </c>
      <c r="E815" t="s">
        <v>2307</v>
      </c>
      <c r="F815" t="s">
        <v>2329</v>
      </c>
      <c r="G815" t="s">
        <v>17</v>
      </c>
      <c r="H815" t="s">
        <v>17</v>
      </c>
      <c r="I815" t="s">
        <v>2319</v>
      </c>
      <c r="J815" t="s">
        <v>17</v>
      </c>
      <c r="K815" t="s">
        <v>3613</v>
      </c>
      <c r="L815" t="s">
        <v>3614</v>
      </c>
      <c r="M815" t="s">
        <v>3615</v>
      </c>
      <c r="N815" t="s">
        <v>394</v>
      </c>
    </row>
    <row r="816" spans="1:14" ht="11.25" customHeight="1">
      <c r="A816" t="s">
        <v>2191</v>
      </c>
      <c r="B816" t="s">
        <v>14</v>
      </c>
      <c r="C816" t="s">
        <v>3273</v>
      </c>
      <c r="D816" t="s">
        <v>3274</v>
      </c>
      <c r="E816" t="s">
        <v>3275</v>
      </c>
      <c r="F816" t="s">
        <v>2234</v>
      </c>
      <c r="G816" t="s">
        <v>17</v>
      </c>
      <c r="H816" t="s">
        <v>17</v>
      </c>
      <c r="I816" t="s">
        <v>2235</v>
      </c>
      <c r="J816" t="s">
        <v>17</v>
      </c>
      <c r="K816" t="s">
        <v>3620</v>
      </c>
      <c r="L816" t="s">
        <v>3621</v>
      </c>
      <c r="M816" t="s">
        <v>3622</v>
      </c>
      <c r="N816" t="s">
        <v>394</v>
      </c>
    </row>
    <row r="817" spans="1:14" ht="11.25" customHeight="1">
      <c r="A817" t="s">
        <v>2191</v>
      </c>
      <c r="B817" t="s">
        <v>14</v>
      </c>
      <c r="C817" t="s">
        <v>3628</v>
      </c>
      <c r="D817" t="s">
        <v>3629</v>
      </c>
      <c r="E817" t="s">
        <v>3630</v>
      </c>
      <c r="F817" t="s">
        <v>2244</v>
      </c>
      <c r="G817" t="s">
        <v>3631</v>
      </c>
      <c r="H817" t="s">
        <v>17</v>
      </c>
      <c r="I817" t="s">
        <v>2235</v>
      </c>
      <c r="J817" t="s">
        <v>17</v>
      </c>
      <c r="K817" t="s">
        <v>3613</v>
      </c>
      <c r="L817" t="s">
        <v>3614</v>
      </c>
      <c r="M817" t="s">
        <v>3615</v>
      </c>
      <c r="N817" t="s">
        <v>394</v>
      </c>
    </row>
    <row r="818" spans="1:14" ht="11.25" customHeight="1">
      <c r="A818" t="s">
        <v>2191</v>
      </c>
      <c r="B818" t="s">
        <v>14</v>
      </c>
      <c r="C818" t="s">
        <v>3632</v>
      </c>
      <c r="D818" t="s">
        <v>3633</v>
      </c>
      <c r="E818" t="s">
        <v>3634</v>
      </c>
      <c r="F818" t="s">
        <v>2546</v>
      </c>
      <c r="G818" t="s">
        <v>17</v>
      </c>
      <c r="H818" t="s">
        <v>17</v>
      </c>
      <c r="I818" t="s">
        <v>2319</v>
      </c>
      <c r="J818" t="s">
        <v>17</v>
      </c>
      <c r="K818" t="s">
        <v>3635</v>
      </c>
      <c r="L818" t="s">
        <v>3636</v>
      </c>
      <c r="M818" t="s">
        <v>3637</v>
      </c>
      <c r="N818" t="s">
        <v>394</v>
      </c>
    </row>
    <row r="819" spans="1:14" ht="11.25" customHeight="1">
      <c r="A819" t="s">
        <v>2191</v>
      </c>
      <c r="B819" t="s">
        <v>14</v>
      </c>
      <c r="C819" t="s">
        <v>3284</v>
      </c>
      <c r="D819" t="s">
        <v>3285</v>
      </c>
      <c r="E819" t="s">
        <v>3286</v>
      </c>
      <c r="F819" t="s">
        <v>2677</v>
      </c>
      <c r="G819" t="s">
        <v>17</v>
      </c>
      <c r="H819" t="s">
        <v>17</v>
      </c>
      <c r="I819" t="s">
        <v>2442</v>
      </c>
      <c r="J819" t="s">
        <v>17</v>
      </c>
      <c r="K819" t="s">
        <v>3638</v>
      </c>
      <c r="L819" t="s">
        <v>3639</v>
      </c>
      <c r="M819" t="s">
        <v>3640</v>
      </c>
      <c r="N819" t="s">
        <v>394</v>
      </c>
    </row>
    <row r="820" spans="1:14" ht="11.25" customHeight="1">
      <c r="A820" t="s">
        <v>2191</v>
      </c>
      <c r="B820" t="s">
        <v>14</v>
      </c>
      <c r="C820" t="s">
        <v>3287</v>
      </c>
      <c r="D820" t="s">
        <v>3288</v>
      </c>
      <c r="E820" t="s">
        <v>3289</v>
      </c>
      <c r="F820" t="s">
        <v>2447</v>
      </c>
      <c r="G820" t="s">
        <v>3290</v>
      </c>
      <c r="H820" t="s">
        <v>17</v>
      </c>
      <c r="I820" t="s">
        <v>2319</v>
      </c>
      <c r="J820" t="s">
        <v>17</v>
      </c>
      <c r="K820" t="s">
        <v>3638</v>
      </c>
      <c r="L820" t="s">
        <v>3639</v>
      </c>
      <c r="M820" t="s">
        <v>3640</v>
      </c>
      <c r="N820" t="s">
        <v>394</v>
      </c>
    </row>
    <row r="821" spans="1:14" ht="11.25" customHeight="1">
      <c r="A821" t="s">
        <v>2191</v>
      </c>
      <c r="B821" t="s">
        <v>14</v>
      </c>
      <c r="C821" t="s">
        <v>2407</v>
      </c>
      <c r="D821" t="s">
        <v>2408</v>
      </c>
      <c r="E821" t="s">
        <v>2409</v>
      </c>
      <c r="F821" t="s">
        <v>2410</v>
      </c>
      <c r="G821" t="s">
        <v>17</v>
      </c>
      <c r="H821" t="s">
        <v>17</v>
      </c>
      <c r="I821" t="s">
        <v>2319</v>
      </c>
      <c r="J821" t="s">
        <v>17</v>
      </c>
      <c r="K821" t="s">
        <v>3613</v>
      </c>
      <c r="L821" t="s">
        <v>3614</v>
      </c>
      <c r="M821" t="s">
        <v>3615</v>
      </c>
      <c r="N821" t="s">
        <v>394</v>
      </c>
    </row>
    <row r="822" spans="1:14" ht="11.25" customHeight="1">
      <c r="A822" t="s">
        <v>2191</v>
      </c>
      <c r="B822" t="s">
        <v>14</v>
      </c>
      <c r="C822" t="s">
        <v>3291</v>
      </c>
      <c r="D822" t="s">
        <v>3292</v>
      </c>
      <c r="E822" t="s">
        <v>3293</v>
      </c>
      <c r="F822" t="s">
        <v>2607</v>
      </c>
      <c r="G822" t="s">
        <v>17</v>
      </c>
      <c r="H822" t="s">
        <v>17</v>
      </c>
      <c r="I822" t="s">
        <v>2319</v>
      </c>
      <c r="J822" t="s">
        <v>17</v>
      </c>
      <c r="K822" t="s">
        <v>3613</v>
      </c>
      <c r="L822" t="s">
        <v>3614</v>
      </c>
      <c r="M822" t="s">
        <v>3615</v>
      </c>
      <c r="N822" t="s">
        <v>394</v>
      </c>
    </row>
    <row r="823" spans="1:14" ht="11.25" customHeight="1">
      <c r="A823" t="s">
        <v>2191</v>
      </c>
      <c r="B823" t="s">
        <v>14</v>
      </c>
      <c r="C823" t="s">
        <v>2419</v>
      </c>
      <c r="D823" t="s">
        <v>2420</v>
      </c>
      <c r="E823" t="s">
        <v>2421</v>
      </c>
      <c r="F823" t="s">
        <v>2422</v>
      </c>
      <c r="G823" t="s">
        <v>17</v>
      </c>
      <c r="H823" t="s">
        <v>17</v>
      </c>
      <c r="I823" t="s">
        <v>2235</v>
      </c>
      <c r="J823" t="s">
        <v>17</v>
      </c>
      <c r="K823" t="s">
        <v>3638</v>
      </c>
      <c r="L823" t="s">
        <v>3639</v>
      </c>
      <c r="M823" t="s">
        <v>3640</v>
      </c>
      <c r="N823" t="s">
        <v>394</v>
      </c>
    </row>
    <row r="824" spans="1:14" ht="11.25" customHeight="1">
      <c r="A824" t="s">
        <v>2191</v>
      </c>
      <c r="B824" t="s">
        <v>14</v>
      </c>
      <c r="C824" t="s">
        <v>2431</v>
      </c>
      <c r="D824" t="s">
        <v>2432</v>
      </c>
      <c r="E824" t="s">
        <v>2433</v>
      </c>
      <c r="F824" t="s">
        <v>2257</v>
      </c>
      <c r="G824" t="s">
        <v>17</v>
      </c>
      <c r="H824" t="s">
        <v>17</v>
      </c>
      <c r="I824" t="s">
        <v>2434</v>
      </c>
      <c r="J824" t="s">
        <v>17</v>
      </c>
      <c r="K824" t="s">
        <v>3638</v>
      </c>
      <c r="L824" t="s">
        <v>3639</v>
      </c>
      <c r="M824" t="s">
        <v>3640</v>
      </c>
      <c r="N824" t="s">
        <v>394</v>
      </c>
    </row>
    <row r="825" spans="1:14" ht="11.25" customHeight="1">
      <c r="A825" t="s">
        <v>2191</v>
      </c>
      <c r="B825" t="s">
        <v>14</v>
      </c>
      <c r="C825" t="s">
        <v>2438</v>
      </c>
      <c r="D825" t="s">
        <v>2439</v>
      </c>
      <c r="E825" t="s">
        <v>2440</v>
      </c>
      <c r="F825" t="s">
        <v>2441</v>
      </c>
      <c r="G825" t="s">
        <v>17</v>
      </c>
      <c r="H825" t="s">
        <v>17</v>
      </c>
      <c r="I825" t="s">
        <v>2443</v>
      </c>
      <c r="J825" t="s">
        <v>17</v>
      </c>
      <c r="K825" t="s">
        <v>3613</v>
      </c>
      <c r="L825" t="s">
        <v>3614</v>
      </c>
      <c r="M825" t="s">
        <v>3615</v>
      </c>
      <c r="N825" t="s">
        <v>394</v>
      </c>
    </row>
    <row r="826" spans="1:14" ht="11.25" customHeight="1">
      <c r="A826" t="s">
        <v>2191</v>
      </c>
      <c r="B826" t="s">
        <v>14</v>
      </c>
      <c r="C826" t="s">
        <v>2438</v>
      </c>
      <c r="D826" t="s">
        <v>2439</v>
      </c>
      <c r="E826" t="s">
        <v>2440</v>
      </c>
      <c r="F826" t="s">
        <v>2441</v>
      </c>
      <c r="G826" t="s">
        <v>17</v>
      </c>
      <c r="H826" t="s">
        <v>17</v>
      </c>
      <c r="I826" t="s">
        <v>2319</v>
      </c>
      <c r="J826" t="s">
        <v>17</v>
      </c>
      <c r="K826" t="s">
        <v>3613</v>
      </c>
      <c r="L826" t="s">
        <v>3614</v>
      </c>
      <c r="M826" t="s">
        <v>3615</v>
      </c>
      <c r="N826" t="s">
        <v>394</v>
      </c>
    </row>
    <row r="827" spans="1:14" ht="11.25" customHeight="1">
      <c r="A827" t="s">
        <v>2191</v>
      </c>
      <c r="B827" t="s">
        <v>14</v>
      </c>
      <c r="C827" t="s">
        <v>2448</v>
      </c>
      <c r="D827" t="s">
        <v>2449</v>
      </c>
      <c r="E827" t="s">
        <v>2450</v>
      </c>
      <c r="F827" t="s">
        <v>2451</v>
      </c>
      <c r="G827" t="s">
        <v>17</v>
      </c>
      <c r="H827" t="s">
        <v>17</v>
      </c>
      <c r="I827" t="s">
        <v>2319</v>
      </c>
      <c r="J827" t="s">
        <v>17</v>
      </c>
      <c r="K827" t="s">
        <v>3638</v>
      </c>
      <c r="L827" t="s">
        <v>3639</v>
      </c>
      <c r="M827" t="s">
        <v>3640</v>
      </c>
      <c r="N827" t="s">
        <v>394</v>
      </c>
    </row>
    <row r="828" spans="1:14" ht="11.25" customHeight="1">
      <c r="A828" t="s">
        <v>2191</v>
      </c>
      <c r="B828" t="s">
        <v>14</v>
      </c>
      <c r="C828" t="s">
        <v>3295</v>
      </c>
      <c r="D828" t="s">
        <v>3296</v>
      </c>
      <c r="E828" t="s">
        <v>3297</v>
      </c>
      <c r="F828" t="s">
        <v>2447</v>
      </c>
      <c r="G828" t="s">
        <v>17</v>
      </c>
      <c r="H828" t="s">
        <v>17</v>
      </c>
      <c r="I828" t="s">
        <v>2319</v>
      </c>
      <c r="J828" t="s">
        <v>17</v>
      </c>
      <c r="K828" t="s">
        <v>3638</v>
      </c>
      <c r="L828" t="s">
        <v>3639</v>
      </c>
      <c r="M828" t="s">
        <v>3640</v>
      </c>
      <c r="N828" t="s">
        <v>394</v>
      </c>
    </row>
    <row r="829" spans="1:14" ht="11.25" customHeight="1">
      <c r="A829" t="s">
        <v>2191</v>
      </c>
      <c r="B829" t="s">
        <v>14</v>
      </c>
      <c r="C829" t="s">
        <v>2476</v>
      </c>
      <c r="D829" t="s">
        <v>2477</v>
      </c>
      <c r="E829" t="s">
        <v>2478</v>
      </c>
      <c r="F829" t="s">
        <v>1426</v>
      </c>
      <c r="G829" t="s">
        <v>17</v>
      </c>
      <c r="H829" t="s">
        <v>17</v>
      </c>
      <c r="I829" t="s">
        <v>2669</v>
      </c>
      <c r="J829" t="s">
        <v>17</v>
      </c>
      <c r="K829" t="s">
        <v>3620</v>
      </c>
      <c r="L829" t="s">
        <v>3621</v>
      </c>
      <c r="M829" t="s">
        <v>3622</v>
      </c>
      <c r="N829" t="s">
        <v>394</v>
      </c>
    </row>
    <row r="830" spans="1:14" ht="11.25" customHeight="1">
      <c r="A830" t="s">
        <v>2191</v>
      </c>
      <c r="B830" t="s">
        <v>14</v>
      </c>
      <c r="C830" t="s">
        <v>3641</v>
      </c>
      <c r="D830" t="s">
        <v>3642</v>
      </c>
      <c r="E830" t="s">
        <v>3643</v>
      </c>
      <c r="F830" t="s">
        <v>1426</v>
      </c>
      <c r="G830" t="s">
        <v>17</v>
      </c>
      <c r="H830" t="s">
        <v>17</v>
      </c>
      <c r="I830" t="s">
        <v>2319</v>
      </c>
      <c r="J830" t="s">
        <v>17</v>
      </c>
      <c r="K830" t="s">
        <v>3638</v>
      </c>
      <c r="L830" t="s">
        <v>3639</v>
      </c>
      <c r="M830" t="s">
        <v>3640</v>
      </c>
      <c r="N830" t="s">
        <v>394</v>
      </c>
    </row>
    <row r="831" spans="1:14" ht="11.25" customHeight="1">
      <c r="A831" t="s">
        <v>2191</v>
      </c>
      <c r="B831" t="s">
        <v>14</v>
      </c>
      <c r="C831" t="s">
        <v>3306</v>
      </c>
      <c r="D831" t="s">
        <v>3307</v>
      </c>
      <c r="E831" t="s">
        <v>3308</v>
      </c>
      <c r="F831" t="s">
        <v>2677</v>
      </c>
      <c r="G831" t="s">
        <v>17</v>
      </c>
      <c r="H831" t="s">
        <v>17</v>
      </c>
      <c r="I831" t="s">
        <v>2442</v>
      </c>
      <c r="J831" t="s">
        <v>17</v>
      </c>
      <c r="K831" t="s">
        <v>3613</v>
      </c>
      <c r="L831" t="s">
        <v>3614</v>
      </c>
      <c r="M831" t="s">
        <v>3615</v>
      </c>
      <c r="N831" t="s">
        <v>394</v>
      </c>
    </row>
    <row r="832" spans="1:14" ht="11.25" customHeight="1">
      <c r="A832" t="s">
        <v>2191</v>
      </c>
      <c r="B832" t="s">
        <v>14</v>
      </c>
      <c r="C832" t="s">
        <v>2494</v>
      </c>
      <c r="D832" t="s">
        <v>2495</v>
      </c>
      <c r="E832" t="s">
        <v>2496</v>
      </c>
      <c r="F832" t="s">
        <v>2497</v>
      </c>
      <c r="G832" t="s">
        <v>17</v>
      </c>
      <c r="H832" t="s">
        <v>17</v>
      </c>
      <c r="I832" t="s">
        <v>2235</v>
      </c>
      <c r="J832" t="s">
        <v>17</v>
      </c>
      <c r="K832" t="s">
        <v>3613</v>
      </c>
      <c r="L832" t="s">
        <v>3614</v>
      </c>
      <c r="M832" t="s">
        <v>3615</v>
      </c>
      <c r="N832" t="s">
        <v>394</v>
      </c>
    </row>
    <row r="833" spans="1:14" ht="11.25" customHeight="1">
      <c r="A833" t="s">
        <v>2191</v>
      </c>
      <c r="B833" t="s">
        <v>14</v>
      </c>
      <c r="C833" t="s">
        <v>3334</v>
      </c>
      <c r="D833" t="s">
        <v>3329</v>
      </c>
      <c r="E833" t="s">
        <v>3335</v>
      </c>
      <c r="F833" t="s">
        <v>3336</v>
      </c>
      <c r="G833" t="s">
        <v>17</v>
      </c>
      <c r="H833" t="s">
        <v>17</v>
      </c>
      <c r="I833" t="s">
        <v>2442</v>
      </c>
      <c r="J833" t="s">
        <v>17</v>
      </c>
      <c r="K833" t="s">
        <v>3613</v>
      </c>
      <c r="L833" t="s">
        <v>3614</v>
      </c>
      <c r="M833" t="s">
        <v>3615</v>
      </c>
      <c r="N833" t="s">
        <v>394</v>
      </c>
    </row>
    <row r="834" spans="1:14" ht="11.25" customHeight="1">
      <c r="A834" t="s">
        <v>2191</v>
      </c>
      <c r="B834" t="s">
        <v>14</v>
      </c>
      <c r="C834" t="s">
        <v>3644</v>
      </c>
      <c r="D834" t="s">
        <v>3645</v>
      </c>
      <c r="E834" t="s">
        <v>3646</v>
      </c>
      <c r="F834" t="s">
        <v>2374</v>
      </c>
      <c r="G834" t="s">
        <v>17</v>
      </c>
      <c r="H834" t="s">
        <v>17</v>
      </c>
      <c r="I834" t="s">
        <v>3647</v>
      </c>
      <c r="J834" t="s">
        <v>17</v>
      </c>
      <c r="K834" t="s">
        <v>3613</v>
      </c>
      <c r="L834" t="s">
        <v>3614</v>
      </c>
      <c r="M834" t="s">
        <v>3615</v>
      </c>
      <c r="N834" t="s">
        <v>394</v>
      </c>
    </row>
    <row r="835" spans="1:14" ht="11.25" customHeight="1">
      <c r="A835" t="s">
        <v>2191</v>
      </c>
      <c r="B835" t="s">
        <v>14</v>
      </c>
      <c r="C835" t="s">
        <v>3337</v>
      </c>
      <c r="D835" t="s">
        <v>3338</v>
      </c>
      <c r="E835" t="s">
        <v>3339</v>
      </c>
      <c r="F835" t="s">
        <v>2513</v>
      </c>
      <c r="G835" t="s">
        <v>17</v>
      </c>
      <c r="H835" t="s">
        <v>17</v>
      </c>
      <c r="I835" t="s">
        <v>2235</v>
      </c>
      <c r="J835" t="s">
        <v>17</v>
      </c>
      <c r="K835" t="s">
        <v>3613</v>
      </c>
      <c r="L835" t="s">
        <v>3614</v>
      </c>
      <c r="M835" t="s">
        <v>3615</v>
      </c>
      <c r="N835" t="s">
        <v>394</v>
      </c>
    </row>
    <row r="836" spans="1:14" ht="11.25" customHeight="1">
      <c r="A836" t="s">
        <v>2191</v>
      </c>
      <c r="B836" t="s">
        <v>14</v>
      </c>
      <c r="C836" t="s">
        <v>2502</v>
      </c>
      <c r="D836" t="s">
        <v>2503</v>
      </c>
      <c r="E836" t="s">
        <v>2504</v>
      </c>
      <c r="F836" t="s">
        <v>2296</v>
      </c>
      <c r="G836" t="s">
        <v>17</v>
      </c>
      <c r="H836" t="s">
        <v>17</v>
      </c>
      <c r="I836" t="s">
        <v>3195</v>
      </c>
      <c r="J836" t="s">
        <v>17</v>
      </c>
      <c r="K836" t="s">
        <v>3613</v>
      </c>
      <c r="L836" t="s">
        <v>3614</v>
      </c>
      <c r="M836" t="s">
        <v>3615</v>
      </c>
      <c r="N836" t="s">
        <v>394</v>
      </c>
    </row>
    <row r="837" spans="1:14" ht="11.25" customHeight="1">
      <c r="A837" t="s">
        <v>2191</v>
      </c>
      <c r="B837" t="s">
        <v>14</v>
      </c>
      <c r="C837" t="s">
        <v>2506</v>
      </c>
      <c r="D837" t="s">
        <v>2507</v>
      </c>
      <c r="E837" t="s">
        <v>2508</v>
      </c>
      <c r="F837" t="s">
        <v>2374</v>
      </c>
      <c r="G837" t="s">
        <v>17</v>
      </c>
      <c r="H837" t="s">
        <v>17</v>
      </c>
      <c r="I837" t="s">
        <v>2794</v>
      </c>
      <c r="J837" t="s">
        <v>17</v>
      </c>
      <c r="K837" t="s">
        <v>3635</v>
      </c>
      <c r="L837" t="s">
        <v>3636</v>
      </c>
      <c r="M837" t="s">
        <v>3637</v>
      </c>
      <c r="N837" t="s">
        <v>394</v>
      </c>
    </row>
    <row r="838" spans="1:14" ht="11.25" customHeight="1">
      <c r="A838" t="s">
        <v>2191</v>
      </c>
      <c r="B838" t="s">
        <v>14</v>
      </c>
      <c r="C838" t="s">
        <v>3648</v>
      </c>
      <c r="D838" t="s">
        <v>3649</v>
      </c>
      <c r="E838" t="s">
        <v>3650</v>
      </c>
      <c r="F838" t="s">
        <v>2936</v>
      </c>
      <c r="G838" t="s">
        <v>17</v>
      </c>
      <c r="H838" t="s">
        <v>17</v>
      </c>
      <c r="I838" t="s">
        <v>3651</v>
      </c>
      <c r="J838" t="s">
        <v>17</v>
      </c>
      <c r="K838" t="s">
        <v>3613</v>
      </c>
      <c r="L838" t="s">
        <v>3614</v>
      </c>
      <c r="M838" t="s">
        <v>3615</v>
      </c>
      <c r="N838" t="s">
        <v>394</v>
      </c>
    </row>
    <row r="839" spans="1:14" ht="11.25" customHeight="1">
      <c r="A839" t="s">
        <v>2191</v>
      </c>
      <c r="B839" t="s">
        <v>14</v>
      </c>
      <c r="C839" t="s">
        <v>2514</v>
      </c>
      <c r="D839" t="s">
        <v>2515</v>
      </c>
      <c r="E839" t="s">
        <v>2516</v>
      </c>
      <c r="F839" t="s">
        <v>2257</v>
      </c>
      <c r="G839" t="s">
        <v>17</v>
      </c>
      <c r="H839" t="s">
        <v>17</v>
      </c>
      <c r="I839" t="s">
        <v>2442</v>
      </c>
      <c r="J839" t="s">
        <v>17</v>
      </c>
      <c r="K839" t="s">
        <v>3613</v>
      </c>
      <c r="L839" t="s">
        <v>3614</v>
      </c>
      <c r="M839" t="s">
        <v>3615</v>
      </c>
      <c r="N839" t="s">
        <v>394</v>
      </c>
    </row>
    <row r="840" spans="1:14" ht="11.25" customHeight="1">
      <c r="A840" t="s">
        <v>2191</v>
      </c>
      <c r="B840" t="s">
        <v>14</v>
      </c>
      <c r="C840" t="s">
        <v>2517</v>
      </c>
      <c r="D840" t="s">
        <v>2518</v>
      </c>
      <c r="E840" t="s">
        <v>2519</v>
      </c>
      <c r="F840" t="s">
        <v>2364</v>
      </c>
      <c r="G840" t="s">
        <v>17</v>
      </c>
      <c r="H840" t="s">
        <v>17</v>
      </c>
      <c r="I840" t="s">
        <v>2442</v>
      </c>
      <c r="J840" t="s">
        <v>17</v>
      </c>
      <c r="K840" t="s">
        <v>3613</v>
      </c>
      <c r="L840" t="s">
        <v>3614</v>
      </c>
      <c r="M840" t="s">
        <v>3615</v>
      </c>
      <c r="N840" t="s">
        <v>394</v>
      </c>
    </row>
    <row r="841" spans="1:14" ht="11.25" customHeight="1">
      <c r="A841" t="s">
        <v>2191</v>
      </c>
      <c r="B841" t="s">
        <v>14</v>
      </c>
      <c r="C841" t="s">
        <v>2520</v>
      </c>
      <c r="D841" t="s">
        <v>2521</v>
      </c>
      <c r="E841" t="s">
        <v>2522</v>
      </c>
      <c r="F841" t="s">
        <v>2513</v>
      </c>
      <c r="G841" t="s">
        <v>17</v>
      </c>
      <c r="H841" t="s">
        <v>17</v>
      </c>
      <c r="I841" t="s">
        <v>2235</v>
      </c>
      <c r="J841" t="s">
        <v>17</v>
      </c>
      <c r="K841" t="s">
        <v>3613</v>
      </c>
      <c r="L841" t="s">
        <v>3614</v>
      </c>
      <c r="M841" t="s">
        <v>3615</v>
      </c>
      <c r="N841" t="s">
        <v>394</v>
      </c>
    </row>
    <row r="842" spans="1:14" ht="11.25" customHeight="1">
      <c r="A842" t="s">
        <v>2191</v>
      </c>
      <c r="B842" t="s">
        <v>14</v>
      </c>
      <c r="C842" t="s">
        <v>2527</v>
      </c>
      <c r="D842" t="s">
        <v>2528</v>
      </c>
      <c r="E842" t="s">
        <v>2529</v>
      </c>
      <c r="F842" t="s">
        <v>2530</v>
      </c>
      <c r="G842" t="s">
        <v>2531</v>
      </c>
      <c r="H842" t="s">
        <v>17</v>
      </c>
      <c r="I842" t="s">
        <v>2509</v>
      </c>
      <c r="J842" t="s">
        <v>17</v>
      </c>
      <c r="K842" t="s">
        <v>3613</v>
      </c>
      <c r="L842" t="s">
        <v>3614</v>
      </c>
      <c r="M842" t="s">
        <v>3615</v>
      </c>
      <c r="N842" t="s">
        <v>394</v>
      </c>
    </row>
    <row r="843" spans="1:14" ht="11.25" customHeight="1">
      <c r="A843" t="s">
        <v>2191</v>
      </c>
      <c r="B843" t="s">
        <v>14</v>
      </c>
      <c r="C843" t="s">
        <v>3342</v>
      </c>
      <c r="D843" t="s">
        <v>3343</v>
      </c>
      <c r="E843" t="s">
        <v>3344</v>
      </c>
      <c r="F843" t="s">
        <v>3345</v>
      </c>
      <c r="G843" t="s">
        <v>3346</v>
      </c>
      <c r="H843" t="s">
        <v>17</v>
      </c>
      <c r="I843" t="s">
        <v>3652</v>
      </c>
      <c r="J843" t="s">
        <v>3653</v>
      </c>
      <c r="K843" t="s">
        <v>3613</v>
      </c>
      <c r="L843" t="s">
        <v>3614</v>
      </c>
      <c r="M843" t="s">
        <v>3615</v>
      </c>
      <c r="N843" t="s">
        <v>394</v>
      </c>
    </row>
    <row r="844" spans="1:14" ht="11.25" customHeight="1">
      <c r="A844" t="s">
        <v>2191</v>
      </c>
      <c r="B844" t="s">
        <v>14</v>
      </c>
      <c r="C844" t="s">
        <v>3347</v>
      </c>
      <c r="D844" t="s">
        <v>3348</v>
      </c>
      <c r="E844" t="s">
        <v>3349</v>
      </c>
      <c r="F844" t="s">
        <v>2447</v>
      </c>
      <c r="G844" t="s">
        <v>17</v>
      </c>
      <c r="H844" t="s">
        <v>17</v>
      </c>
      <c r="I844" t="s">
        <v>2319</v>
      </c>
      <c r="J844" t="s">
        <v>17</v>
      </c>
      <c r="K844" t="s">
        <v>3620</v>
      </c>
      <c r="L844" t="s">
        <v>3621</v>
      </c>
      <c r="M844" t="s">
        <v>3622</v>
      </c>
      <c r="N844" t="s">
        <v>394</v>
      </c>
    </row>
    <row r="845" spans="1:14" ht="11.25" customHeight="1">
      <c r="A845" t="s">
        <v>2191</v>
      </c>
      <c r="B845" t="s">
        <v>14</v>
      </c>
      <c r="C845" t="s">
        <v>3654</v>
      </c>
      <c r="D845" t="s">
        <v>3655</v>
      </c>
      <c r="E845" t="s">
        <v>3656</v>
      </c>
      <c r="F845" t="s">
        <v>2590</v>
      </c>
      <c r="G845" t="s">
        <v>17</v>
      </c>
      <c r="H845" t="s">
        <v>17</v>
      </c>
      <c r="I845" t="s">
        <v>2235</v>
      </c>
      <c r="J845" t="s">
        <v>17</v>
      </c>
      <c r="K845" t="s">
        <v>3613</v>
      </c>
      <c r="L845" t="s">
        <v>3657</v>
      </c>
      <c r="M845" t="s">
        <v>3658</v>
      </c>
      <c r="N845" t="s">
        <v>394</v>
      </c>
    </row>
    <row r="846" spans="1:14" ht="11.25" customHeight="1">
      <c r="A846" t="s">
        <v>2191</v>
      </c>
      <c r="B846" t="s">
        <v>14</v>
      </c>
      <c r="C846" t="s">
        <v>3354</v>
      </c>
      <c r="D846" t="s">
        <v>3355</v>
      </c>
      <c r="E846" t="s">
        <v>3356</v>
      </c>
      <c r="F846" t="s">
        <v>2756</v>
      </c>
      <c r="G846" t="s">
        <v>17</v>
      </c>
      <c r="H846" t="s">
        <v>17</v>
      </c>
      <c r="I846" t="s">
        <v>2479</v>
      </c>
      <c r="J846" t="s">
        <v>17</v>
      </c>
      <c r="K846" t="s">
        <v>3638</v>
      </c>
      <c r="L846" t="s">
        <v>3659</v>
      </c>
      <c r="M846" t="s">
        <v>3660</v>
      </c>
      <c r="N846" t="s">
        <v>394</v>
      </c>
    </row>
    <row r="847" spans="1:14" ht="11.25" customHeight="1">
      <c r="A847" t="s">
        <v>2191</v>
      </c>
      <c r="B847" t="s">
        <v>14</v>
      </c>
      <c r="C847" t="s">
        <v>2540</v>
      </c>
      <c r="D847" t="s">
        <v>2541</v>
      </c>
      <c r="E847" t="s">
        <v>2542</v>
      </c>
      <c r="F847" t="s">
        <v>2234</v>
      </c>
      <c r="G847" t="s">
        <v>17</v>
      </c>
      <c r="H847" t="s">
        <v>17</v>
      </c>
      <c r="I847" t="s">
        <v>2235</v>
      </c>
      <c r="J847" t="s">
        <v>17</v>
      </c>
      <c r="K847" t="s">
        <v>3638</v>
      </c>
      <c r="L847" t="s">
        <v>3639</v>
      </c>
      <c r="M847" t="s">
        <v>3640</v>
      </c>
      <c r="N847" t="s">
        <v>394</v>
      </c>
    </row>
    <row r="848" spans="1:14" ht="11.25" customHeight="1">
      <c r="A848" t="s">
        <v>2191</v>
      </c>
      <c r="B848" t="s">
        <v>14</v>
      </c>
      <c r="C848" t="s">
        <v>2543</v>
      </c>
      <c r="D848" t="s">
        <v>2544</v>
      </c>
      <c r="E848" t="s">
        <v>2545</v>
      </c>
      <c r="F848" t="s">
        <v>2546</v>
      </c>
      <c r="G848" t="s">
        <v>17</v>
      </c>
      <c r="H848" t="s">
        <v>17</v>
      </c>
      <c r="I848" t="s">
        <v>2319</v>
      </c>
      <c r="J848" t="s">
        <v>17</v>
      </c>
      <c r="K848" t="s">
        <v>3613</v>
      </c>
      <c r="L848" t="s">
        <v>3614</v>
      </c>
      <c r="M848" t="s">
        <v>3615</v>
      </c>
      <c r="N848" t="s">
        <v>394</v>
      </c>
    </row>
    <row r="849" spans="1:14" ht="11.25" customHeight="1">
      <c r="A849" t="s">
        <v>2191</v>
      </c>
      <c r="B849" t="s">
        <v>14</v>
      </c>
      <c r="C849" t="s">
        <v>2547</v>
      </c>
      <c r="D849" t="s">
        <v>2548</v>
      </c>
      <c r="E849" t="s">
        <v>2549</v>
      </c>
      <c r="F849" t="s">
        <v>2550</v>
      </c>
      <c r="G849" t="s">
        <v>17</v>
      </c>
      <c r="H849" t="s">
        <v>17</v>
      </c>
      <c r="I849" t="s">
        <v>2235</v>
      </c>
      <c r="J849" t="s">
        <v>17</v>
      </c>
      <c r="K849" t="s">
        <v>3613</v>
      </c>
      <c r="L849" t="s">
        <v>3614</v>
      </c>
      <c r="M849" t="s">
        <v>3615</v>
      </c>
      <c r="N849" t="s">
        <v>394</v>
      </c>
    </row>
    <row r="850" spans="1:14" ht="11.25" customHeight="1">
      <c r="A850" t="s">
        <v>2191</v>
      </c>
      <c r="B850" t="s">
        <v>14</v>
      </c>
      <c r="C850" t="s">
        <v>3357</v>
      </c>
      <c r="D850" t="s">
        <v>3358</v>
      </c>
      <c r="E850" t="s">
        <v>3359</v>
      </c>
      <c r="F850" t="s">
        <v>2244</v>
      </c>
      <c r="G850" t="s">
        <v>17</v>
      </c>
      <c r="H850" t="s">
        <v>17</v>
      </c>
      <c r="I850" t="s">
        <v>2235</v>
      </c>
      <c r="J850" t="s">
        <v>17</v>
      </c>
      <c r="K850" t="s">
        <v>3613</v>
      </c>
      <c r="L850" t="s">
        <v>3614</v>
      </c>
      <c r="M850" t="s">
        <v>3615</v>
      </c>
      <c r="N850" t="s">
        <v>394</v>
      </c>
    </row>
    <row r="851" spans="1:14" ht="11.25" customHeight="1">
      <c r="A851" t="s">
        <v>2191</v>
      </c>
      <c r="B851" t="s">
        <v>14</v>
      </c>
      <c r="C851" t="s">
        <v>3360</v>
      </c>
      <c r="D851" t="s">
        <v>3361</v>
      </c>
      <c r="E851" t="s">
        <v>3362</v>
      </c>
      <c r="F851" t="s">
        <v>2940</v>
      </c>
      <c r="G851" t="s">
        <v>17</v>
      </c>
      <c r="H851" t="s">
        <v>17</v>
      </c>
      <c r="I851" t="s">
        <v>2319</v>
      </c>
      <c r="J851" t="s">
        <v>17</v>
      </c>
      <c r="K851" t="s">
        <v>3638</v>
      </c>
      <c r="L851" t="s">
        <v>3659</v>
      </c>
      <c r="M851" t="s">
        <v>3660</v>
      </c>
      <c r="N851" t="s">
        <v>394</v>
      </c>
    </row>
    <row r="852" spans="1:14" ht="11.25" customHeight="1">
      <c r="A852" t="s">
        <v>2191</v>
      </c>
      <c r="B852" t="s">
        <v>14</v>
      </c>
      <c r="C852" t="s">
        <v>3661</v>
      </c>
      <c r="D852" t="s">
        <v>3662</v>
      </c>
      <c r="E852" t="s">
        <v>3663</v>
      </c>
      <c r="F852" t="s">
        <v>2345</v>
      </c>
      <c r="G852" t="s">
        <v>17</v>
      </c>
      <c r="H852" t="s">
        <v>17</v>
      </c>
      <c r="I852" t="s">
        <v>3664</v>
      </c>
      <c r="J852" t="s">
        <v>17</v>
      </c>
      <c r="K852" t="s">
        <v>3620</v>
      </c>
      <c r="L852" t="s">
        <v>3621</v>
      </c>
      <c r="M852" t="s">
        <v>3622</v>
      </c>
      <c r="N852" t="s">
        <v>394</v>
      </c>
    </row>
    <row r="853" spans="1:14" ht="11.25" customHeight="1">
      <c r="A853" t="s">
        <v>2191</v>
      </c>
      <c r="B853" t="s">
        <v>14</v>
      </c>
      <c r="C853" t="s">
        <v>2551</v>
      </c>
      <c r="D853" t="s">
        <v>2552</v>
      </c>
      <c r="E853" t="s">
        <v>2553</v>
      </c>
      <c r="F853" t="s">
        <v>2554</v>
      </c>
      <c r="G853" t="s">
        <v>17</v>
      </c>
      <c r="H853" t="s">
        <v>17</v>
      </c>
      <c r="I853" t="s">
        <v>2486</v>
      </c>
      <c r="J853" t="s">
        <v>17</v>
      </c>
      <c r="K853" t="s">
        <v>3638</v>
      </c>
      <c r="L853" t="s">
        <v>3639</v>
      </c>
      <c r="M853" t="s">
        <v>3640</v>
      </c>
      <c r="N853" t="s">
        <v>394</v>
      </c>
    </row>
    <row r="854" spans="1:14" ht="11.25" customHeight="1">
      <c r="A854" t="s">
        <v>2191</v>
      </c>
      <c r="B854" t="s">
        <v>14</v>
      </c>
      <c r="C854" t="s">
        <v>3372</v>
      </c>
      <c r="D854" t="s">
        <v>3373</v>
      </c>
      <c r="E854" t="s">
        <v>3374</v>
      </c>
      <c r="F854" t="s">
        <v>2422</v>
      </c>
      <c r="G854" t="s">
        <v>17</v>
      </c>
      <c r="H854" t="s">
        <v>17</v>
      </c>
      <c r="I854" t="s">
        <v>2319</v>
      </c>
      <c r="J854" t="s">
        <v>17</v>
      </c>
      <c r="K854" t="s">
        <v>3613</v>
      </c>
      <c r="L854" t="s">
        <v>3614</v>
      </c>
      <c r="M854" t="s">
        <v>3615</v>
      </c>
      <c r="N854" t="s">
        <v>394</v>
      </c>
    </row>
    <row r="855" spans="1:14" ht="11.25" customHeight="1">
      <c r="A855" t="s">
        <v>2191</v>
      </c>
      <c r="B855" t="s">
        <v>14</v>
      </c>
      <c r="C855" t="s">
        <v>3375</v>
      </c>
      <c r="D855" t="s">
        <v>2559</v>
      </c>
      <c r="E855" t="s">
        <v>3376</v>
      </c>
      <c r="F855" t="s">
        <v>2739</v>
      </c>
      <c r="G855" t="s">
        <v>17</v>
      </c>
      <c r="H855" t="s">
        <v>17</v>
      </c>
      <c r="I855" t="s">
        <v>2319</v>
      </c>
      <c r="J855" t="s">
        <v>2319</v>
      </c>
      <c r="K855" t="s">
        <v>3613</v>
      </c>
      <c r="L855" t="s">
        <v>3614</v>
      </c>
      <c r="M855" t="s">
        <v>3615</v>
      </c>
      <c r="N855" t="s">
        <v>394</v>
      </c>
    </row>
    <row r="856" spans="1:14" ht="11.25" customHeight="1">
      <c r="A856" t="s">
        <v>2191</v>
      </c>
      <c r="B856" t="s">
        <v>14</v>
      </c>
      <c r="C856" t="s">
        <v>2558</v>
      </c>
      <c r="D856" t="s">
        <v>2559</v>
      </c>
      <c r="E856" t="s">
        <v>2560</v>
      </c>
      <c r="F856" t="s">
        <v>2253</v>
      </c>
      <c r="G856" t="s">
        <v>17</v>
      </c>
      <c r="H856" t="s">
        <v>17</v>
      </c>
      <c r="I856" t="s">
        <v>3377</v>
      </c>
      <c r="J856" t="s">
        <v>17</v>
      </c>
      <c r="K856" t="s">
        <v>3613</v>
      </c>
      <c r="L856" t="s">
        <v>3614</v>
      </c>
      <c r="M856" t="s">
        <v>3615</v>
      </c>
      <c r="N856" t="s">
        <v>394</v>
      </c>
    </row>
    <row r="857" spans="1:14" ht="11.25" customHeight="1">
      <c r="A857" t="s">
        <v>2191</v>
      </c>
      <c r="B857" t="s">
        <v>14</v>
      </c>
      <c r="C857" t="s">
        <v>3381</v>
      </c>
      <c r="D857" t="s">
        <v>3382</v>
      </c>
      <c r="E857" t="s">
        <v>3383</v>
      </c>
      <c r="F857" t="s">
        <v>2607</v>
      </c>
      <c r="G857" t="s">
        <v>17</v>
      </c>
      <c r="H857" t="s">
        <v>17</v>
      </c>
      <c r="I857" t="s">
        <v>2319</v>
      </c>
      <c r="J857" t="s">
        <v>17</v>
      </c>
      <c r="K857" t="s">
        <v>3638</v>
      </c>
      <c r="L857" t="s">
        <v>3639</v>
      </c>
      <c r="M857" t="s">
        <v>3640</v>
      </c>
      <c r="N857" t="s">
        <v>394</v>
      </c>
    </row>
    <row r="858" spans="1:14" ht="11.25" customHeight="1">
      <c r="A858" t="s">
        <v>2191</v>
      </c>
      <c r="B858" t="s">
        <v>14</v>
      </c>
      <c r="C858" t="s">
        <v>3384</v>
      </c>
      <c r="D858" t="s">
        <v>3385</v>
      </c>
      <c r="E858" t="s">
        <v>3386</v>
      </c>
      <c r="F858" t="s">
        <v>2345</v>
      </c>
      <c r="G858" t="s">
        <v>17</v>
      </c>
      <c r="H858" t="s">
        <v>17</v>
      </c>
      <c r="I858" t="s">
        <v>2196</v>
      </c>
      <c r="J858" t="s">
        <v>17</v>
      </c>
      <c r="K858" t="s">
        <v>3613</v>
      </c>
      <c r="L858" t="s">
        <v>3614</v>
      </c>
      <c r="M858" t="s">
        <v>3615</v>
      </c>
      <c r="N858" t="s">
        <v>394</v>
      </c>
    </row>
    <row r="859" spans="1:14" ht="11.25" customHeight="1">
      <c r="A859" t="s">
        <v>2191</v>
      </c>
      <c r="B859" t="s">
        <v>14</v>
      </c>
      <c r="C859" t="s">
        <v>3387</v>
      </c>
      <c r="D859" t="s">
        <v>3388</v>
      </c>
      <c r="E859" t="s">
        <v>3389</v>
      </c>
      <c r="F859" t="s">
        <v>2739</v>
      </c>
      <c r="G859" t="s">
        <v>17</v>
      </c>
      <c r="H859" t="s">
        <v>17</v>
      </c>
      <c r="I859" t="s">
        <v>2319</v>
      </c>
      <c r="J859" t="s">
        <v>17</v>
      </c>
      <c r="K859" t="s">
        <v>3613</v>
      </c>
      <c r="L859" t="s">
        <v>3614</v>
      </c>
      <c r="M859" t="s">
        <v>3615</v>
      </c>
      <c r="N859" t="s">
        <v>394</v>
      </c>
    </row>
    <row r="860" spans="1:14" ht="11.25" customHeight="1">
      <c r="A860" t="s">
        <v>2191</v>
      </c>
      <c r="B860" t="s">
        <v>14</v>
      </c>
      <c r="C860" t="s">
        <v>3390</v>
      </c>
      <c r="D860" t="s">
        <v>3391</v>
      </c>
      <c r="E860" t="s">
        <v>3392</v>
      </c>
      <c r="F860" t="s">
        <v>2630</v>
      </c>
      <c r="G860" t="s">
        <v>17</v>
      </c>
      <c r="H860" t="s">
        <v>17</v>
      </c>
      <c r="I860" t="s">
        <v>2319</v>
      </c>
      <c r="J860" t="s">
        <v>17</v>
      </c>
      <c r="K860" t="s">
        <v>3613</v>
      </c>
      <c r="L860" t="s">
        <v>3614</v>
      </c>
      <c r="M860" t="s">
        <v>3615</v>
      </c>
      <c r="N860" t="s">
        <v>394</v>
      </c>
    </row>
    <row r="861" spans="1:14" ht="11.25" customHeight="1">
      <c r="A861" t="s">
        <v>2191</v>
      </c>
      <c r="B861" t="s">
        <v>14</v>
      </c>
      <c r="C861" t="s">
        <v>2566</v>
      </c>
      <c r="D861" t="s">
        <v>2567</v>
      </c>
      <c r="E861" t="s">
        <v>2568</v>
      </c>
      <c r="F861" t="s">
        <v>2546</v>
      </c>
      <c r="G861" t="s">
        <v>17</v>
      </c>
      <c r="H861" t="s">
        <v>17</v>
      </c>
      <c r="I861" t="s">
        <v>2319</v>
      </c>
      <c r="J861" t="s">
        <v>17</v>
      </c>
      <c r="K861" t="s">
        <v>3638</v>
      </c>
      <c r="L861" t="s">
        <v>3639</v>
      </c>
      <c r="M861" t="s">
        <v>3640</v>
      </c>
      <c r="N861" t="s">
        <v>394</v>
      </c>
    </row>
    <row r="862" spans="1:14" ht="11.25" customHeight="1">
      <c r="A862" t="s">
        <v>2191</v>
      </c>
      <c r="B862" t="s">
        <v>14</v>
      </c>
      <c r="C862" t="s">
        <v>2569</v>
      </c>
      <c r="D862" t="s">
        <v>2570</v>
      </c>
      <c r="E862" t="s">
        <v>2571</v>
      </c>
      <c r="F862" t="s">
        <v>2530</v>
      </c>
      <c r="G862" t="s">
        <v>17</v>
      </c>
      <c r="H862" t="s">
        <v>17</v>
      </c>
      <c r="I862" t="s">
        <v>2319</v>
      </c>
      <c r="J862" t="s">
        <v>17</v>
      </c>
      <c r="K862" t="s">
        <v>3613</v>
      </c>
      <c r="L862" t="s">
        <v>3614</v>
      </c>
      <c r="M862" t="s">
        <v>3615</v>
      </c>
      <c r="N862" t="s">
        <v>394</v>
      </c>
    </row>
    <row r="863" spans="1:14" ht="11.25" customHeight="1">
      <c r="A863" t="s">
        <v>2191</v>
      </c>
      <c r="B863" t="s">
        <v>14</v>
      </c>
      <c r="C863" t="s">
        <v>2572</v>
      </c>
      <c r="D863" t="s">
        <v>2573</v>
      </c>
      <c r="E863" t="s">
        <v>2574</v>
      </c>
      <c r="F863" t="s">
        <v>2530</v>
      </c>
      <c r="G863" t="s">
        <v>17</v>
      </c>
      <c r="H863" t="s">
        <v>17</v>
      </c>
      <c r="I863" t="s">
        <v>2319</v>
      </c>
      <c r="J863" t="s">
        <v>17</v>
      </c>
      <c r="K863" t="s">
        <v>3613</v>
      </c>
      <c r="L863" t="s">
        <v>3614</v>
      </c>
      <c r="M863" t="s">
        <v>3615</v>
      </c>
      <c r="N863" t="s">
        <v>394</v>
      </c>
    </row>
    <row r="864" spans="1:14" ht="11.25" customHeight="1">
      <c r="A864" t="s">
        <v>2191</v>
      </c>
      <c r="B864" t="s">
        <v>14</v>
      </c>
      <c r="C864" t="s">
        <v>2575</v>
      </c>
      <c r="D864" t="s">
        <v>2576</v>
      </c>
      <c r="E864" t="s">
        <v>2577</v>
      </c>
      <c r="F864" t="s">
        <v>2530</v>
      </c>
      <c r="G864" t="s">
        <v>17</v>
      </c>
      <c r="H864" t="s">
        <v>17</v>
      </c>
      <c r="I864" t="s">
        <v>2319</v>
      </c>
      <c r="J864" t="s">
        <v>17</v>
      </c>
      <c r="K864" t="s">
        <v>3613</v>
      </c>
      <c r="L864" t="s">
        <v>3614</v>
      </c>
      <c r="M864" t="s">
        <v>3615</v>
      </c>
      <c r="N864" t="s">
        <v>394</v>
      </c>
    </row>
    <row r="865" spans="1:14" ht="11.25" customHeight="1">
      <c r="A865" t="s">
        <v>2191</v>
      </c>
      <c r="B865" t="s">
        <v>14</v>
      </c>
      <c r="C865" t="s">
        <v>2578</v>
      </c>
      <c r="D865" t="s">
        <v>2579</v>
      </c>
      <c r="E865" t="s">
        <v>2580</v>
      </c>
      <c r="F865" t="s">
        <v>2530</v>
      </c>
      <c r="G865" t="s">
        <v>17</v>
      </c>
      <c r="H865" t="s">
        <v>17</v>
      </c>
      <c r="I865" t="s">
        <v>2319</v>
      </c>
      <c r="J865" t="s">
        <v>17</v>
      </c>
      <c r="K865" t="s">
        <v>3613</v>
      </c>
      <c r="L865" t="s">
        <v>3614</v>
      </c>
      <c r="M865" t="s">
        <v>3615</v>
      </c>
      <c r="N865" t="s">
        <v>394</v>
      </c>
    </row>
    <row r="866" spans="1:14" ht="11.25" customHeight="1">
      <c r="A866" t="s">
        <v>2191</v>
      </c>
      <c r="B866" t="s">
        <v>14</v>
      </c>
      <c r="C866" t="s">
        <v>2581</v>
      </c>
      <c r="D866" t="s">
        <v>2582</v>
      </c>
      <c r="E866" t="s">
        <v>2583</v>
      </c>
      <c r="F866" t="s">
        <v>2530</v>
      </c>
      <c r="G866" t="s">
        <v>17</v>
      </c>
      <c r="H866" t="s">
        <v>17</v>
      </c>
      <c r="I866" t="s">
        <v>2319</v>
      </c>
      <c r="J866" t="s">
        <v>17</v>
      </c>
      <c r="K866" t="s">
        <v>3613</v>
      </c>
      <c r="L866" t="s">
        <v>3614</v>
      </c>
      <c r="M866" t="s">
        <v>3615</v>
      </c>
      <c r="N866" t="s">
        <v>394</v>
      </c>
    </row>
    <row r="867" spans="1:14" ht="11.25" customHeight="1">
      <c r="A867" t="s">
        <v>2191</v>
      </c>
      <c r="B867" t="s">
        <v>14</v>
      </c>
      <c r="C867" t="s">
        <v>2584</v>
      </c>
      <c r="D867" t="s">
        <v>2585</v>
      </c>
      <c r="E867" t="s">
        <v>2586</v>
      </c>
      <c r="F867" t="s">
        <v>2530</v>
      </c>
      <c r="G867" t="s">
        <v>17</v>
      </c>
      <c r="H867" t="s">
        <v>17</v>
      </c>
      <c r="I867" t="s">
        <v>2319</v>
      </c>
      <c r="J867" t="s">
        <v>17</v>
      </c>
      <c r="K867" t="s">
        <v>3613</v>
      </c>
      <c r="L867" t="s">
        <v>3614</v>
      </c>
      <c r="M867" t="s">
        <v>3615</v>
      </c>
      <c r="N867" t="s">
        <v>394</v>
      </c>
    </row>
    <row r="868" spans="1:14" ht="11.25" customHeight="1">
      <c r="A868" t="s">
        <v>2191</v>
      </c>
      <c r="B868" t="s">
        <v>14</v>
      </c>
      <c r="C868" t="s">
        <v>2587</v>
      </c>
      <c r="D868" t="s">
        <v>2588</v>
      </c>
      <c r="E868" t="s">
        <v>2589</v>
      </c>
      <c r="F868" t="s">
        <v>2590</v>
      </c>
      <c r="G868" t="s">
        <v>17</v>
      </c>
      <c r="H868" t="s">
        <v>17</v>
      </c>
      <c r="I868" t="s">
        <v>2235</v>
      </c>
      <c r="J868" t="s">
        <v>17</v>
      </c>
      <c r="K868" t="s">
        <v>3613</v>
      </c>
      <c r="L868" t="s">
        <v>3614</v>
      </c>
      <c r="M868" t="s">
        <v>3615</v>
      </c>
      <c r="N868" t="s">
        <v>394</v>
      </c>
    </row>
    <row r="869" spans="1:14" ht="11.25" customHeight="1">
      <c r="A869" t="s">
        <v>2191</v>
      </c>
      <c r="B869" t="s">
        <v>14</v>
      </c>
      <c r="C869" t="s">
        <v>2591</v>
      </c>
      <c r="D869" t="s">
        <v>2592</v>
      </c>
      <c r="E869" t="s">
        <v>2593</v>
      </c>
      <c r="F869" t="s">
        <v>2530</v>
      </c>
      <c r="G869" t="s">
        <v>17</v>
      </c>
      <c r="H869" t="s">
        <v>17</v>
      </c>
      <c r="I869" t="s">
        <v>2319</v>
      </c>
      <c r="J869" t="s">
        <v>17</v>
      </c>
      <c r="K869" t="s">
        <v>3613</v>
      </c>
      <c r="L869" t="s">
        <v>3614</v>
      </c>
      <c r="M869" t="s">
        <v>3615</v>
      </c>
      <c r="N869" t="s">
        <v>394</v>
      </c>
    </row>
    <row r="870" spans="1:14" ht="11.25" customHeight="1">
      <c r="A870" t="s">
        <v>2191</v>
      </c>
      <c r="B870" t="s">
        <v>14</v>
      </c>
      <c r="C870" t="s">
        <v>3395</v>
      </c>
      <c r="D870" t="s">
        <v>3396</v>
      </c>
      <c r="E870" t="s">
        <v>3397</v>
      </c>
      <c r="F870" t="s">
        <v>2530</v>
      </c>
      <c r="G870" t="s">
        <v>17</v>
      </c>
      <c r="H870" t="s">
        <v>17</v>
      </c>
      <c r="I870" t="s">
        <v>2319</v>
      </c>
      <c r="J870" t="s">
        <v>17</v>
      </c>
      <c r="K870" t="s">
        <v>3613</v>
      </c>
      <c r="L870" t="s">
        <v>3614</v>
      </c>
      <c r="M870" t="s">
        <v>3615</v>
      </c>
      <c r="N870" t="s">
        <v>394</v>
      </c>
    </row>
    <row r="871" spans="1:14" ht="11.25" customHeight="1">
      <c r="A871" t="s">
        <v>2191</v>
      </c>
      <c r="B871" t="s">
        <v>14</v>
      </c>
      <c r="C871" t="s">
        <v>2597</v>
      </c>
      <c r="D871" t="s">
        <v>2598</v>
      </c>
      <c r="E871" t="s">
        <v>2599</v>
      </c>
      <c r="F871" t="s">
        <v>2600</v>
      </c>
      <c r="G871" t="s">
        <v>17</v>
      </c>
      <c r="H871" t="s">
        <v>17</v>
      </c>
      <c r="I871" t="s">
        <v>2319</v>
      </c>
      <c r="J871" t="s">
        <v>17</v>
      </c>
      <c r="K871" t="s">
        <v>3613</v>
      </c>
      <c r="L871" t="s">
        <v>3614</v>
      </c>
      <c r="M871" t="s">
        <v>3615</v>
      </c>
      <c r="N871" t="s">
        <v>394</v>
      </c>
    </row>
    <row r="872" spans="1:14" ht="11.25" customHeight="1">
      <c r="A872" t="s">
        <v>2191</v>
      </c>
      <c r="B872" t="s">
        <v>14</v>
      </c>
      <c r="C872" t="s">
        <v>2601</v>
      </c>
      <c r="D872" t="s">
        <v>2602</v>
      </c>
      <c r="E872" t="s">
        <v>2603</v>
      </c>
      <c r="F872" t="s">
        <v>2398</v>
      </c>
      <c r="G872" t="s">
        <v>17</v>
      </c>
      <c r="H872" t="s">
        <v>17</v>
      </c>
      <c r="I872" t="s">
        <v>2832</v>
      </c>
      <c r="J872" t="s">
        <v>17</v>
      </c>
      <c r="K872" t="s">
        <v>3613</v>
      </c>
      <c r="L872" t="s">
        <v>3614</v>
      </c>
      <c r="M872" t="s">
        <v>3615</v>
      </c>
      <c r="N872" t="s">
        <v>394</v>
      </c>
    </row>
    <row r="873" spans="1:14" ht="11.25" customHeight="1">
      <c r="A873" t="s">
        <v>2191</v>
      </c>
      <c r="B873" t="s">
        <v>14</v>
      </c>
      <c r="C873" t="s">
        <v>2604</v>
      </c>
      <c r="D873" t="s">
        <v>2605</v>
      </c>
      <c r="E873" t="s">
        <v>2606</v>
      </c>
      <c r="F873" t="s">
        <v>2607</v>
      </c>
      <c r="G873" t="s">
        <v>17</v>
      </c>
      <c r="H873" t="s">
        <v>17</v>
      </c>
      <c r="I873" t="s">
        <v>2319</v>
      </c>
      <c r="J873" t="s">
        <v>17</v>
      </c>
      <c r="K873" t="s">
        <v>3613</v>
      </c>
      <c r="L873" t="s">
        <v>3614</v>
      </c>
      <c r="M873" t="s">
        <v>3615</v>
      </c>
      <c r="N873" t="s">
        <v>394</v>
      </c>
    </row>
    <row r="874" spans="1:14" ht="11.25" customHeight="1">
      <c r="A874" t="s">
        <v>2191</v>
      </c>
      <c r="B874" t="s">
        <v>14</v>
      </c>
      <c r="C874" t="s">
        <v>2608</v>
      </c>
      <c r="D874" t="s">
        <v>2609</v>
      </c>
      <c r="E874" t="s">
        <v>2610</v>
      </c>
      <c r="F874" t="s">
        <v>2234</v>
      </c>
      <c r="G874" t="s">
        <v>17</v>
      </c>
      <c r="H874" t="s">
        <v>17</v>
      </c>
      <c r="I874" t="s">
        <v>2235</v>
      </c>
      <c r="J874" t="s">
        <v>17</v>
      </c>
      <c r="K874" t="s">
        <v>3613</v>
      </c>
      <c r="L874" t="s">
        <v>3614</v>
      </c>
      <c r="M874" t="s">
        <v>3615</v>
      </c>
      <c r="N874" t="s">
        <v>394</v>
      </c>
    </row>
    <row r="875" spans="1:14" ht="11.25" customHeight="1">
      <c r="A875" t="s">
        <v>2191</v>
      </c>
      <c r="B875" t="s">
        <v>14</v>
      </c>
      <c r="C875" t="s">
        <v>3410</v>
      </c>
      <c r="D875" t="s">
        <v>3411</v>
      </c>
      <c r="E875" t="s">
        <v>3412</v>
      </c>
      <c r="F875" t="s">
        <v>2647</v>
      </c>
      <c r="G875" t="s">
        <v>17</v>
      </c>
      <c r="H875" t="s">
        <v>17</v>
      </c>
      <c r="I875" t="s">
        <v>2319</v>
      </c>
      <c r="J875" t="s">
        <v>2319</v>
      </c>
      <c r="K875" t="s">
        <v>3620</v>
      </c>
      <c r="L875" t="s">
        <v>3621</v>
      </c>
      <c r="M875" t="s">
        <v>3622</v>
      </c>
      <c r="N875" t="s">
        <v>394</v>
      </c>
    </row>
    <row r="876" spans="1:14" ht="11.25" customHeight="1">
      <c r="A876" t="s">
        <v>2191</v>
      </c>
      <c r="B876" t="s">
        <v>14</v>
      </c>
      <c r="C876" t="s">
        <v>3410</v>
      </c>
      <c r="D876" t="s">
        <v>3411</v>
      </c>
      <c r="E876" t="s">
        <v>3412</v>
      </c>
      <c r="F876" t="s">
        <v>2647</v>
      </c>
      <c r="G876" t="s">
        <v>17</v>
      </c>
      <c r="H876" t="s">
        <v>17</v>
      </c>
      <c r="I876" t="s">
        <v>3455</v>
      </c>
      <c r="J876" t="s">
        <v>17</v>
      </c>
      <c r="K876" t="s">
        <v>3620</v>
      </c>
      <c r="L876" t="s">
        <v>3621</v>
      </c>
      <c r="M876" t="s">
        <v>3622</v>
      </c>
      <c r="N876" t="s">
        <v>394</v>
      </c>
    </row>
    <row r="877" spans="1:14" ht="11.25" customHeight="1">
      <c r="A877" t="s">
        <v>2191</v>
      </c>
      <c r="B877" t="s">
        <v>14</v>
      </c>
      <c r="C877" t="s">
        <v>3419</v>
      </c>
      <c r="D877" t="s">
        <v>3420</v>
      </c>
      <c r="E877" t="s">
        <v>3421</v>
      </c>
      <c r="F877" t="s">
        <v>2414</v>
      </c>
      <c r="G877" t="s">
        <v>17</v>
      </c>
      <c r="H877" t="s">
        <v>17</v>
      </c>
      <c r="I877" t="s">
        <v>2319</v>
      </c>
      <c r="J877" t="s">
        <v>17</v>
      </c>
      <c r="K877" t="s">
        <v>3613</v>
      </c>
      <c r="L877" t="s">
        <v>3614</v>
      </c>
      <c r="M877" t="s">
        <v>3615</v>
      </c>
      <c r="N877" t="s">
        <v>394</v>
      </c>
    </row>
    <row r="878" spans="1:14" ht="11.25" customHeight="1">
      <c r="A878" t="s">
        <v>2191</v>
      </c>
      <c r="B878" t="s">
        <v>14</v>
      </c>
      <c r="C878" t="s">
        <v>3422</v>
      </c>
      <c r="D878" t="s">
        <v>3423</v>
      </c>
      <c r="E878" t="s">
        <v>3424</v>
      </c>
      <c r="F878" t="s">
        <v>3172</v>
      </c>
      <c r="G878" t="s">
        <v>17</v>
      </c>
      <c r="H878" t="s">
        <v>17</v>
      </c>
      <c r="I878" t="s">
        <v>2319</v>
      </c>
      <c r="J878" t="s">
        <v>17</v>
      </c>
      <c r="K878" t="s">
        <v>3638</v>
      </c>
      <c r="L878" t="s">
        <v>3659</v>
      </c>
      <c r="M878" t="s">
        <v>3660</v>
      </c>
      <c r="N878" t="s">
        <v>394</v>
      </c>
    </row>
    <row r="879" spans="1:14" ht="11.25" customHeight="1">
      <c r="A879" t="s">
        <v>2191</v>
      </c>
      <c r="B879" t="s">
        <v>14</v>
      </c>
      <c r="C879" t="s">
        <v>2611</v>
      </c>
      <c r="D879" t="s">
        <v>2612</v>
      </c>
      <c r="E879" t="s">
        <v>2613</v>
      </c>
      <c r="F879" t="s">
        <v>2607</v>
      </c>
      <c r="G879" t="s">
        <v>17</v>
      </c>
      <c r="H879" t="s">
        <v>17</v>
      </c>
      <c r="I879" t="s">
        <v>2319</v>
      </c>
      <c r="J879" t="s">
        <v>17</v>
      </c>
      <c r="K879" t="s">
        <v>3638</v>
      </c>
      <c r="L879" t="s">
        <v>3639</v>
      </c>
      <c r="M879" t="s">
        <v>3640</v>
      </c>
      <c r="N879" t="s">
        <v>394</v>
      </c>
    </row>
    <row r="880" spans="1:14" ht="11.25" customHeight="1">
      <c r="A880" t="s">
        <v>2191</v>
      </c>
      <c r="B880" t="s">
        <v>14</v>
      </c>
      <c r="C880" t="s">
        <v>2617</v>
      </c>
      <c r="D880" t="s">
        <v>2618</v>
      </c>
      <c r="E880" t="s">
        <v>2619</v>
      </c>
      <c r="F880" t="s">
        <v>2234</v>
      </c>
      <c r="G880" t="s">
        <v>17</v>
      </c>
      <c r="H880" t="s">
        <v>17</v>
      </c>
      <c r="I880" t="s">
        <v>2235</v>
      </c>
      <c r="J880" t="s">
        <v>17</v>
      </c>
      <c r="K880" t="s">
        <v>3613</v>
      </c>
      <c r="L880" t="s">
        <v>3614</v>
      </c>
      <c r="M880" t="s">
        <v>3615</v>
      </c>
      <c r="N880" t="s">
        <v>394</v>
      </c>
    </row>
    <row r="881" spans="1:14" ht="11.25" customHeight="1">
      <c r="A881" t="s">
        <v>2191</v>
      </c>
      <c r="B881" t="s">
        <v>14</v>
      </c>
      <c r="C881" t="s">
        <v>2623</v>
      </c>
      <c r="D881" t="s">
        <v>2624</v>
      </c>
      <c r="E881" t="s">
        <v>2625</v>
      </c>
      <c r="F881" t="s">
        <v>2414</v>
      </c>
      <c r="G881" t="s">
        <v>17</v>
      </c>
      <c r="H881" t="s">
        <v>2626</v>
      </c>
      <c r="I881" t="s">
        <v>2319</v>
      </c>
      <c r="J881" t="s">
        <v>2626</v>
      </c>
      <c r="K881" t="s">
        <v>3613</v>
      </c>
      <c r="L881" t="s">
        <v>3614</v>
      </c>
      <c r="M881" t="s">
        <v>3615</v>
      </c>
      <c r="N881" t="s">
        <v>394</v>
      </c>
    </row>
    <row r="882" spans="1:14" ht="11.25" customHeight="1">
      <c r="A882" t="s">
        <v>2191</v>
      </c>
      <c r="B882" t="s">
        <v>14</v>
      </c>
      <c r="C882" t="s">
        <v>3426</v>
      </c>
      <c r="D882" t="s">
        <v>3427</v>
      </c>
      <c r="E882" t="s">
        <v>3428</v>
      </c>
      <c r="F882" t="s">
        <v>2607</v>
      </c>
      <c r="G882" t="s">
        <v>17</v>
      </c>
      <c r="H882" t="s">
        <v>17</v>
      </c>
      <c r="I882" t="s">
        <v>2319</v>
      </c>
      <c r="J882" t="s">
        <v>17</v>
      </c>
      <c r="K882" t="s">
        <v>3638</v>
      </c>
      <c r="L882" t="s">
        <v>3639</v>
      </c>
      <c r="M882" t="s">
        <v>3640</v>
      </c>
      <c r="N882" t="s">
        <v>394</v>
      </c>
    </row>
    <row r="883" spans="1:14" ht="11.25" customHeight="1">
      <c r="A883" t="s">
        <v>2191</v>
      </c>
      <c r="B883" t="s">
        <v>14</v>
      </c>
      <c r="C883" t="s">
        <v>2631</v>
      </c>
      <c r="D883" t="s">
        <v>2632</v>
      </c>
      <c r="E883" t="s">
        <v>2633</v>
      </c>
      <c r="F883" t="s">
        <v>2410</v>
      </c>
      <c r="G883" t="s">
        <v>17</v>
      </c>
      <c r="H883" t="s">
        <v>17</v>
      </c>
      <c r="I883" t="s">
        <v>2319</v>
      </c>
      <c r="J883" t="s">
        <v>17</v>
      </c>
      <c r="K883" t="s">
        <v>3638</v>
      </c>
      <c r="L883" t="s">
        <v>3639</v>
      </c>
      <c r="M883" t="s">
        <v>3640</v>
      </c>
      <c r="N883" t="s">
        <v>394</v>
      </c>
    </row>
    <row r="884" spans="1:14" ht="11.25" customHeight="1">
      <c r="A884" t="s">
        <v>2191</v>
      </c>
      <c r="B884" t="s">
        <v>14</v>
      </c>
      <c r="C884" t="s">
        <v>3433</v>
      </c>
      <c r="D884" t="s">
        <v>3434</v>
      </c>
      <c r="E884" t="s">
        <v>3435</v>
      </c>
      <c r="F884" t="s">
        <v>2406</v>
      </c>
      <c r="G884" t="s">
        <v>17</v>
      </c>
      <c r="H884" t="s">
        <v>17</v>
      </c>
      <c r="I884" t="s">
        <v>2319</v>
      </c>
      <c r="J884" t="s">
        <v>17</v>
      </c>
      <c r="K884" t="s">
        <v>3638</v>
      </c>
      <c r="L884" t="s">
        <v>3639</v>
      </c>
      <c r="M884" t="s">
        <v>3640</v>
      </c>
      <c r="N884" t="s">
        <v>394</v>
      </c>
    </row>
    <row r="885" spans="1:14" ht="11.25" customHeight="1">
      <c r="A885" t="s">
        <v>2191</v>
      </c>
      <c r="B885" t="s">
        <v>14</v>
      </c>
      <c r="C885" t="s">
        <v>2634</v>
      </c>
      <c r="D885" t="s">
        <v>2635</v>
      </c>
      <c r="E885" t="s">
        <v>2636</v>
      </c>
      <c r="F885" t="s">
        <v>2530</v>
      </c>
      <c r="G885" t="s">
        <v>17</v>
      </c>
      <c r="H885" t="s">
        <v>17</v>
      </c>
      <c r="I885" t="s">
        <v>2319</v>
      </c>
      <c r="J885" t="s">
        <v>17</v>
      </c>
      <c r="K885" t="s">
        <v>3613</v>
      </c>
      <c r="L885" t="s">
        <v>3614</v>
      </c>
      <c r="M885" t="s">
        <v>3615</v>
      </c>
      <c r="N885" t="s">
        <v>394</v>
      </c>
    </row>
    <row r="886" spans="1:14" ht="11.25" customHeight="1">
      <c r="A886" t="s">
        <v>2191</v>
      </c>
      <c r="B886" t="s">
        <v>14</v>
      </c>
      <c r="C886" t="s">
        <v>2637</v>
      </c>
      <c r="D886" t="s">
        <v>2638</v>
      </c>
      <c r="E886" t="s">
        <v>2639</v>
      </c>
      <c r="F886" t="s">
        <v>2640</v>
      </c>
      <c r="G886" t="s">
        <v>17</v>
      </c>
      <c r="H886" t="s">
        <v>17</v>
      </c>
      <c r="I886" t="s">
        <v>2319</v>
      </c>
      <c r="J886" t="s">
        <v>17</v>
      </c>
      <c r="K886" t="s">
        <v>3613</v>
      </c>
      <c r="L886" t="s">
        <v>3614</v>
      </c>
      <c r="M886" t="s">
        <v>3615</v>
      </c>
      <c r="N886" t="s">
        <v>394</v>
      </c>
    </row>
    <row r="887" spans="1:14" ht="11.25" customHeight="1">
      <c r="A887" t="s">
        <v>2191</v>
      </c>
      <c r="B887" t="s">
        <v>14</v>
      </c>
      <c r="C887" t="s">
        <v>2641</v>
      </c>
      <c r="D887" t="s">
        <v>2642</v>
      </c>
      <c r="E887" t="s">
        <v>2643</v>
      </c>
      <c r="F887" t="s">
        <v>2244</v>
      </c>
      <c r="G887" t="s">
        <v>17</v>
      </c>
      <c r="H887" t="s">
        <v>17</v>
      </c>
      <c r="I887" t="s">
        <v>2235</v>
      </c>
      <c r="J887" t="s">
        <v>17</v>
      </c>
      <c r="K887" t="s">
        <v>3613</v>
      </c>
      <c r="L887" t="s">
        <v>3614</v>
      </c>
      <c r="M887" t="s">
        <v>3615</v>
      </c>
      <c r="N887" t="s">
        <v>394</v>
      </c>
    </row>
    <row r="888" spans="1:14" ht="11.25" customHeight="1">
      <c r="A888" t="s">
        <v>2191</v>
      </c>
      <c r="B888" t="s">
        <v>14</v>
      </c>
      <c r="C888" t="s">
        <v>2644</v>
      </c>
      <c r="D888" t="s">
        <v>2645</v>
      </c>
      <c r="E888" t="s">
        <v>2646</v>
      </c>
      <c r="F888" t="s">
        <v>2647</v>
      </c>
      <c r="G888" t="s">
        <v>17</v>
      </c>
      <c r="H888" t="s">
        <v>17</v>
      </c>
      <c r="I888" t="s">
        <v>2319</v>
      </c>
      <c r="J888" t="s">
        <v>17</v>
      </c>
      <c r="K888" t="s">
        <v>3613</v>
      </c>
      <c r="L888" t="s">
        <v>3614</v>
      </c>
      <c r="M888" t="s">
        <v>3615</v>
      </c>
      <c r="N888" t="s">
        <v>394</v>
      </c>
    </row>
    <row r="889" spans="1:14" ht="11.25" customHeight="1">
      <c r="A889" t="s">
        <v>2191</v>
      </c>
      <c r="B889" t="s">
        <v>14</v>
      </c>
      <c r="C889" t="s">
        <v>2648</v>
      </c>
      <c r="D889" t="s">
        <v>2649</v>
      </c>
      <c r="E889" t="s">
        <v>2650</v>
      </c>
      <c r="F889" t="s">
        <v>2530</v>
      </c>
      <c r="G889" t="s">
        <v>17</v>
      </c>
      <c r="H889" t="s">
        <v>17</v>
      </c>
      <c r="I889" t="s">
        <v>2319</v>
      </c>
      <c r="J889" t="s">
        <v>17</v>
      </c>
      <c r="K889" t="s">
        <v>3613</v>
      </c>
      <c r="L889" t="s">
        <v>3614</v>
      </c>
      <c r="M889" t="s">
        <v>3615</v>
      </c>
      <c r="N889" t="s">
        <v>394</v>
      </c>
    </row>
    <row r="890" spans="1:14" ht="11.25" customHeight="1">
      <c r="A890" t="s">
        <v>2191</v>
      </c>
      <c r="B890" t="s">
        <v>14</v>
      </c>
      <c r="C890" t="s">
        <v>2651</v>
      </c>
      <c r="D890" t="s">
        <v>2652</v>
      </c>
      <c r="E890" t="s">
        <v>2653</v>
      </c>
      <c r="F890" t="s">
        <v>2546</v>
      </c>
      <c r="G890" t="s">
        <v>17</v>
      </c>
      <c r="H890" t="s">
        <v>17</v>
      </c>
      <c r="I890" t="s">
        <v>2319</v>
      </c>
      <c r="J890" t="s">
        <v>17</v>
      </c>
      <c r="K890" t="s">
        <v>3613</v>
      </c>
      <c r="L890" t="s">
        <v>3614</v>
      </c>
      <c r="M890" t="s">
        <v>3615</v>
      </c>
      <c r="N890" t="s">
        <v>394</v>
      </c>
    </row>
    <row r="891" spans="1:14" ht="11.25" customHeight="1">
      <c r="A891" t="s">
        <v>2191</v>
      </c>
      <c r="B891" t="s">
        <v>14</v>
      </c>
      <c r="C891" t="s">
        <v>2654</v>
      </c>
      <c r="D891" t="s">
        <v>2655</v>
      </c>
      <c r="E891" t="s">
        <v>2656</v>
      </c>
      <c r="F891" t="s">
        <v>2657</v>
      </c>
      <c r="G891" t="s">
        <v>17</v>
      </c>
      <c r="H891" t="s">
        <v>17</v>
      </c>
      <c r="I891" t="s">
        <v>2319</v>
      </c>
      <c r="J891" t="s">
        <v>17</v>
      </c>
      <c r="K891" t="s">
        <v>3613</v>
      </c>
      <c r="L891" t="s">
        <v>3614</v>
      </c>
      <c r="M891" t="s">
        <v>3615</v>
      </c>
      <c r="N891" t="s">
        <v>394</v>
      </c>
    </row>
    <row r="892" spans="1:14" ht="11.25" customHeight="1">
      <c r="A892" t="s">
        <v>2191</v>
      </c>
      <c r="B892" t="s">
        <v>14</v>
      </c>
      <c r="C892" t="s">
        <v>3442</v>
      </c>
      <c r="D892" t="s">
        <v>3443</v>
      </c>
      <c r="E892" t="s">
        <v>3444</v>
      </c>
      <c r="F892" t="s">
        <v>2712</v>
      </c>
      <c r="G892" t="s">
        <v>17</v>
      </c>
      <c r="H892" t="s">
        <v>17</v>
      </c>
      <c r="I892" t="s">
        <v>3665</v>
      </c>
      <c r="J892" t="s">
        <v>17</v>
      </c>
      <c r="K892" t="s">
        <v>3613</v>
      </c>
      <c r="L892" t="s">
        <v>3614</v>
      </c>
      <c r="M892" t="s">
        <v>3615</v>
      </c>
      <c r="N892" t="s">
        <v>394</v>
      </c>
    </row>
    <row r="893" spans="1:14" ht="11.25" customHeight="1">
      <c r="A893" t="s">
        <v>2191</v>
      </c>
      <c r="B893" t="s">
        <v>14</v>
      </c>
      <c r="C893" t="s">
        <v>3445</v>
      </c>
      <c r="D893" t="s">
        <v>3446</v>
      </c>
      <c r="E893" t="s">
        <v>3447</v>
      </c>
      <c r="F893" t="s">
        <v>2422</v>
      </c>
      <c r="G893" t="s">
        <v>17</v>
      </c>
      <c r="H893" t="s">
        <v>17</v>
      </c>
      <c r="I893" t="s">
        <v>2509</v>
      </c>
      <c r="J893" t="s">
        <v>17</v>
      </c>
      <c r="K893" t="s">
        <v>3620</v>
      </c>
      <c r="L893" t="s">
        <v>3621</v>
      </c>
      <c r="M893" t="s">
        <v>3622</v>
      </c>
      <c r="N893" t="s">
        <v>394</v>
      </c>
    </row>
    <row r="894" spans="1:14" ht="11.25" customHeight="1">
      <c r="A894" t="s">
        <v>2191</v>
      </c>
      <c r="B894" t="s">
        <v>14</v>
      </c>
      <c r="C894" t="s">
        <v>2658</v>
      </c>
      <c r="D894" t="s">
        <v>2659</v>
      </c>
      <c r="E894" t="s">
        <v>2660</v>
      </c>
      <c r="F894" t="s">
        <v>2661</v>
      </c>
      <c r="G894" t="s">
        <v>17</v>
      </c>
      <c r="H894" t="s">
        <v>17</v>
      </c>
      <c r="I894" t="s">
        <v>2319</v>
      </c>
      <c r="J894" t="s">
        <v>17</v>
      </c>
      <c r="K894" t="s">
        <v>3638</v>
      </c>
      <c r="L894" t="s">
        <v>3639</v>
      </c>
      <c r="M894" t="s">
        <v>3640</v>
      </c>
      <c r="N894" t="s">
        <v>394</v>
      </c>
    </row>
    <row r="895" spans="1:14" ht="11.25" customHeight="1">
      <c r="A895" t="s">
        <v>2191</v>
      </c>
      <c r="B895" t="s">
        <v>14</v>
      </c>
      <c r="C895" t="s">
        <v>2662</v>
      </c>
      <c r="D895" t="s">
        <v>2663</v>
      </c>
      <c r="E895" t="s">
        <v>2664</v>
      </c>
      <c r="F895" t="s">
        <v>2253</v>
      </c>
      <c r="G895" t="s">
        <v>17</v>
      </c>
      <c r="H895" t="s">
        <v>17</v>
      </c>
      <c r="I895" t="s">
        <v>3448</v>
      </c>
      <c r="J895" t="s">
        <v>17</v>
      </c>
      <c r="K895" t="s">
        <v>3613</v>
      </c>
      <c r="L895" t="s">
        <v>3614</v>
      </c>
      <c r="M895" t="s">
        <v>3615</v>
      </c>
      <c r="N895" t="s">
        <v>394</v>
      </c>
    </row>
    <row r="896" spans="1:14" ht="11.25" customHeight="1">
      <c r="A896" t="s">
        <v>2191</v>
      </c>
      <c r="B896" t="s">
        <v>14</v>
      </c>
      <c r="C896" t="s">
        <v>3452</v>
      </c>
      <c r="D896" t="s">
        <v>3453</v>
      </c>
      <c r="E896" t="s">
        <v>3454</v>
      </c>
      <c r="F896" t="s">
        <v>2414</v>
      </c>
      <c r="G896" t="s">
        <v>17</v>
      </c>
      <c r="H896" t="s">
        <v>17</v>
      </c>
      <c r="I896" t="s">
        <v>2319</v>
      </c>
      <c r="J896" t="s">
        <v>2319</v>
      </c>
      <c r="K896" t="s">
        <v>3613</v>
      </c>
      <c r="L896" t="s">
        <v>3657</v>
      </c>
      <c r="M896" t="s">
        <v>3658</v>
      </c>
      <c r="N896" t="s">
        <v>394</v>
      </c>
    </row>
    <row r="897" spans="1:14" ht="11.25" customHeight="1">
      <c r="A897" t="s">
        <v>2191</v>
      </c>
      <c r="B897" t="s">
        <v>14</v>
      </c>
      <c r="C897" t="s">
        <v>3452</v>
      </c>
      <c r="D897" t="s">
        <v>3453</v>
      </c>
      <c r="E897" t="s">
        <v>3454</v>
      </c>
      <c r="F897" t="s">
        <v>2414</v>
      </c>
      <c r="G897" t="s">
        <v>17</v>
      </c>
      <c r="H897" t="s">
        <v>17</v>
      </c>
      <c r="I897" t="s">
        <v>3455</v>
      </c>
      <c r="J897" t="s">
        <v>17</v>
      </c>
      <c r="K897" t="s">
        <v>3613</v>
      </c>
      <c r="L897" t="s">
        <v>3657</v>
      </c>
      <c r="M897" t="s">
        <v>3658</v>
      </c>
      <c r="N897" t="s">
        <v>394</v>
      </c>
    </row>
    <row r="898" spans="1:14" ht="11.25" customHeight="1">
      <c r="A898" t="s">
        <v>2191</v>
      </c>
      <c r="B898" t="s">
        <v>14</v>
      </c>
      <c r="C898" t="s">
        <v>2666</v>
      </c>
      <c r="D898" t="s">
        <v>2667</v>
      </c>
      <c r="E898" t="s">
        <v>2668</v>
      </c>
      <c r="F898" t="s">
        <v>2402</v>
      </c>
      <c r="G898" t="s">
        <v>17</v>
      </c>
      <c r="H898" t="s">
        <v>17</v>
      </c>
      <c r="I898" t="s">
        <v>2669</v>
      </c>
      <c r="J898" t="s">
        <v>17</v>
      </c>
      <c r="K898" t="s">
        <v>3620</v>
      </c>
      <c r="L898" t="s">
        <v>3621</v>
      </c>
      <c r="M898" t="s">
        <v>3622</v>
      </c>
      <c r="N898" t="s">
        <v>394</v>
      </c>
    </row>
    <row r="899" spans="1:14" ht="11.25" customHeight="1">
      <c r="A899" t="s">
        <v>2191</v>
      </c>
      <c r="B899" t="s">
        <v>14</v>
      </c>
      <c r="C899" t="s">
        <v>2670</v>
      </c>
      <c r="D899" t="s">
        <v>2671</v>
      </c>
      <c r="E899" t="s">
        <v>2672</v>
      </c>
      <c r="F899" t="s">
        <v>2451</v>
      </c>
      <c r="G899" t="s">
        <v>2673</v>
      </c>
      <c r="H899" t="s">
        <v>17</v>
      </c>
      <c r="I899" t="s">
        <v>2319</v>
      </c>
      <c r="J899" t="s">
        <v>17</v>
      </c>
      <c r="K899" t="s">
        <v>3613</v>
      </c>
      <c r="L899" t="s">
        <v>3614</v>
      </c>
      <c r="M899" t="s">
        <v>3615</v>
      </c>
      <c r="N899" t="s">
        <v>394</v>
      </c>
    </row>
    <row r="900" spans="1:14" ht="11.25" customHeight="1">
      <c r="A900" t="s">
        <v>2191</v>
      </c>
      <c r="B900" t="s">
        <v>14</v>
      </c>
      <c r="C900" t="s">
        <v>2674</v>
      </c>
      <c r="D900" t="s">
        <v>2675</v>
      </c>
      <c r="E900" t="s">
        <v>2676</v>
      </c>
      <c r="F900" t="s">
        <v>2677</v>
      </c>
      <c r="G900" t="s">
        <v>17</v>
      </c>
      <c r="H900" t="s">
        <v>17</v>
      </c>
      <c r="I900" t="s">
        <v>2442</v>
      </c>
      <c r="J900" t="s">
        <v>17</v>
      </c>
      <c r="K900" t="s">
        <v>3613</v>
      </c>
      <c r="L900" t="s">
        <v>3614</v>
      </c>
      <c r="M900" t="s">
        <v>3615</v>
      </c>
      <c r="N900" t="s">
        <v>394</v>
      </c>
    </row>
    <row r="901" spans="1:14" ht="11.25" customHeight="1">
      <c r="A901" t="s">
        <v>2191</v>
      </c>
      <c r="B901" t="s">
        <v>14</v>
      </c>
      <c r="C901" t="s">
        <v>2678</v>
      </c>
      <c r="D901" t="s">
        <v>2679</v>
      </c>
      <c r="E901" t="s">
        <v>2680</v>
      </c>
      <c r="F901" t="s">
        <v>2410</v>
      </c>
      <c r="G901" t="s">
        <v>17</v>
      </c>
      <c r="H901" t="s">
        <v>17</v>
      </c>
      <c r="I901" t="s">
        <v>2319</v>
      </c>
      <c r="J901" t="s">
        <v>17</v>
      </c>
      <c r="K901" t="s">
        <v>3638</v>
      </c>
      <c r="L901" t="s">
        <v>3666</v>
      </c>
      <c r="M901" t="s">
        <v>3667</v>
      </c>
      <c r="N901" t="s">
        <v>394</v>
      </c>
    </row>
    <row r="902" spans="1:14" ht="11.25" customHeight="1">
      <c r="A902" t="s">
        <v>2191</v>
      </c>
      <c r="B902" t="s">
        <v>14</v>
      </c>
      <c r="C902" t="s">
        <v>2681</v>
      </c>
      <c r="D902" t="s">
        <v>2682</v>
      </c>
      <c r="E902" t="s">
        <v>2683</v>
      </c>
      <c r="F902" t="s">
        <v>2684</v>
      </c>
      <c r="G902" t="s">
        <v>17</v>
      </c>
      <c r="H902" t="s">
        <v>17</v>
      </c>
      <c r="I902" t="s">
        <v>2319</v>
      </c>
      <c r="J902" t="s">
        <v>17</v>
      </c>
      <c r="K902" t="s">
        <v>3613</v>
      </c>
      <c r="L902" t="s">
        <v>3614</v>
      </c>
      <c r="M902" t="s">
        <v>3615</v>
      </c>
      <c r="N902" t="s">
        <v>394</v>
      </c>
    </row>
    <row r="903" spans="1:14" ht="11.25" customHeight="1">
      <c r="A903" t="s">
        <v>2191</v>
      </c>
      <c r="B903" t="s">
        <v>14</v>
      </c>
      <c r="C903" t="s">
        <v>2685</v>
      </c>
      <c r="D903" t="s">
        <v>2686</v>
      </c>
      <c r="E903" t="s">
        <v>2687</v>
      </c>
      <c r="F903" t="s">
        <v>2447</v>
      </c>
      <c r="G903" t="s">
        <v>17</v>
      </c>
      <c r="H903" t="s">
        <v>17</v>
      </c>
      <c r="I903" t="s">
        <v>2319</v>
      </c>
      <c r="J903" t="s">
        <v>17</v>
      </c>
      <c r="K903" t="s">
        <v>3613</v>
      </c>
      <c r="L903" t="s">
        <v>3614</v>
      </c>
      <c r="M903" t="s">
        <v>3615</v>
      </c>
      <c r="N903" t="s">
        <v>394</v>
      </c>
    </row>
    <row r="904" spans="1:14" ht="11.25" customHeight="1">
      <c r="A904" t="s">
        <v>2191</v>
      </c>
      <c r="B904" t="s">
        <v>14</v>
      </c>
      <c r="C904" t="s">
        <v>2688</v>
      </c>
      <c r="D904" t="s">
        <v>2689</v>
      </c>
      <c r="E904" t="s">
        <v>2690</v>
      </c>
      <c r="F904" t="s">
        <v>2691</v>
      </c>
      <c r="G904" t="s">
        <v>17</v>
      </c>
      <c r="H904" t="s">
        <v>17</v>
      </c>
      <c r="I904" t="s">
        <v>2319</v>
      </c>
      <c r="J904" t="s">
        <v>17</v>
      </c>
      <c r="K904" t="s">
        <v>3613</v>
      </c>
      <c r="L904" t="s">
        <v>3614</v>
      </c>
      <c r="M904" t="s">
        <v>3615</v>
      </c>
      <c r="N904" t="s">
        <v>394</v>
      </c>
    </row>
    <row r="905" spans="1:14" ht="11.25" customHeight="1">
      <c r="A905" t="s">
        <v>2191</v>
      </c>
      <c r="B905" t="s">
        <v>14</v>
      </c>
      <c r="C905" t="s">
        <v>2692</v>
      </c>
      <c r="D905" t="s">
        <v>2693</v>
      </c>
      <c r="E905" t="s">
        <v>2694</v>
      </c>
      <c r="F905" t="s">
        <v>2414</v>
      </c>
      <c r="G905" t="s">
        <v>2695</v>
      </c>
      <c r="H905" t="s">
        <v>17</v>
      </c>
      <c r="I905" t="s">
        <v>2319</v>
      </c>
      <c r="J905" t="s">
        <v>17</v>
      </c>
      <c r="K905" t="s">
        <v>3613</v>
      </c>
      <c r="L905" t="s">
        <v>3614</v>
      </c>
      <c r="M905" t="s">
        <v>3615</v>
      </c>
      <c r="N905" t="s">
        <v>394</v>
      </c>
    </row>
    <row r="906" spans="1:14" ht="11.25" customHeight="1">
      <c r="A906" t="s">
        <v>2191</v>
      </c>
      <c r="B906" t="s">
        <v>14</v>
      </c>
      <c r="C906" t="s">
        <v>2696</v>
      </c>
      <c r="D906" t="s">
        <v>2697</v>
      </c>
      <c r="E906" t="s">
        <v>2698</v>
      </c>
      <c r="F906" t="s">
        <v>2414</v>
      </c>
      <c r="G906" t="s">
        <v>17</v>
      </c>
      <c r="H906" t="s">
        <v>17</v>
      </c>
      <c r="I906" t="s">
        <v>2319</v>
      </c>
      <c r="J906" t="s">
        <v>3456</v>
      </c>
      <c r="K906" t="s">
        <v>3613</v>
      </c>
      <c r="L906" t="s">
        <v>3614</v>
      </c>
      <c r="M906" t="s">
        <v>3615</v>
      </c>
      <c r="N906" t="s">
        <v>394</v>
      </c>
    </row>
    <row r="907" spans="1:14" ht="11.25" customHeight="1">
      <c r="A907" t="s">
        <v>2191</v>
      </c>
      <c r="B907" t="s">
        <v>14</v>
      </c>
      <c r="C907" t="s">
        <v>2699</v>
      </c>
      <c r="D907" t="s">
        <v>2700</v>
      </c>
      <c r="E907" t="s">
        <v>2701</v>
      </c>
      <c r="F907" t="s">
        <v>2702</v>
      </c>
      <c r="G907" t="s">
        <v>17</v>
      </c>
      <c r="H907" t="s">
        <v>17</v>
      </c>
      <c r="I907" t="s">
        <v>2319</v>
      </c>
      <c r="J907" t="s">
        <v>17</v>
      </c>
      <c r="K907" t="s">
        <v>3613</v>
      </c>
      <c r="L907" t="s">
        <v>3614</v>
      </c>
      <c r="M907" t="s">
        <v>3615</v>
      </c>
      <c r="N907" t="s">
        <v>394</v>
      </c>
    </row>
    <row r="908" spans="1:14" ht="11.25" customHeight="1">
      <c r="A908" t="s">
        <v>2191</v>
      </c>
      <c r="B908" t="s">
        <v>14</v>
      </c>
      <c r="C908" t="s">
        <v>2703</v>
      </c>
      <c r="D908" t="s">
        <v>2704</v>
      </c>
      <c r="E908" t="s">
        <v>2705</v>
      </c>
      <c r="F908" t="s">
        <v>2530</v>
      </c>
      <c r="G908" t="s">
        <v>17</v>
      </c>
      <c r="H908" t="s">
        <v>17</v>
      </c>
      <c r="I908" t="s">
        <v>2319</v>
      </c>
      <c r="J908" t="s">
        <v>17</v>
      </c>
      <c r="K908" t="s">
        <v>3613</v>
      </c>
      <c r="L908" t="s">
        <v>3614</v>
      </c>
      <c r="M908" t="s">
        <v>3615</v>
      </c>
      <c r="N908" t="s">
        <v>394</v>
      </c>
    </row>
    <row r="909" spans="1:14" ht="11.25" customHeight="1">
      <c r="A909" t="s">
        <v>2191</v>
      </c>
      <c r="B909" t="s">
        <v>14</v>
      </c>
      <c r="C909" t="s">
        <v>3457</v>
      </c>
      <c r="D909" t="s">
        <v>3458</v>
      </c>
      <c r="E909" t="s">
        <v>3459</v>
      </c>
      <c r="F909" t="s">
        <v>2447</v>
      </c>
      <c r="G909" t="s">
        <v>3460</v>
      </c>
      <c r="H909" t="s">
        <v>17</v>
      </c>
      <c r="I909" t="s">
        <v>2319</v>
      </c>
      <c r="J909" t="s">
        <v>17</v>
      </c>
      <c r="K909" t="s">
        <v>3638</v>
      </c>
      <c r="L909" t="s">
        <v>3639</v>
      </c>
      <c r="M909" t="s">
        <v>3640</v>
      </c>
      <c r="N909" t="s">
        <v>394</v>
      </c>
    </row>
    <row r="910" spans="1:14" ht="11.25" customHeight="1">
      <c r="A910" t="s">
        <v>2191</v>
      </c>
      <c r="B910" t="s">
        <v>14</v>
      </c>
      <c r="C910" t="s">
        <v>2709</v>
      </c>
      <c r="D910" t="s">
        <v>2710</v>
      </c>
      <c r="E910" t="s">
        <v>2711</v>
      </c>
      <c r="F910" t="s">
        <v>2712</v>
      </c>
      <c r="G910" t="s">
        <v>17</v>
      </c>
      <c r="H910" t="s">
        <v>17</v>
      </c>
      <c r="I910" t="s">
        <v>2235</v>
      </c>
      <c r="J910" t="s">
        <v>17</v>
      </c>
      <c r="K910" t="s">
        <v>3613</v>
      </c>
      <c r="L910" t="s">
        <v>3614</v>
      </c>
      <c r="M910" t="s">
        <v>3615</v>
      </c>
      <c r="N910" t="s">
        <v>394</v>
      </c>
    </row>
    <row r="911" spans="1:14" ht="11.25" customHeight="1">
      <c r="A911" t="s">
        <v>2191</v>
      </c>
      <c r="B911" t="s">
        <v>14</v>
      </c>
      <c r="C911" t="s">
        <v>3461</v>
      </c>
      <c r="D911" t="s">
        <v>3462</v>
      </c>
      <c r="E911" t="s">
        <v>3463</v>
      </c>
      <c r="F911" t="s">
        <v>2661</v>
      </c>
      <c r="G911" t="s">
        <v>17</v>
      </c>
      <c r="H911" t="s">
        <v>17</v>
      </c>
      <c r="I911" t="s">
        <v>2319</v>
      </c>
      <c r="J911" t="s">
        <v>17</v>
      </c>
      <c r="K911" t="s">
        <v>3638</v>
      </c>
      <c r="L911" t="s">
        <v>3639</v>
      </c>
      <c r="M911" t="s">
        <v>3640</v>
      </c>
      <c r="N911" t="s">
        <v>394</v>
      </c>
    </row>
    <row r="912" spans="1:14" ht="11.25" customHeight="1">
      <c r="A912" t="s">
        <v>2191</v>
      </c>
      <c r="B912" t="s">
        <v>14</v>
      </c>
      <c r="C912" t="s">
        <v>2713</v>
      </c>
      <c r="D912" t="s">
        <v>2714</v>
      </c>
      <c r="E912" t="s">
        <v>2715</v>
      </c>
      <c r="F912" t="s">
        <v>2661</v>
      </c>
      <c r="G912" t="s">
        <v>17</v>
      </c>
      <c r="H912" t="s">
        <v>17</v>
      </c>
      <c r="I912" t="s">
        <v>2319</v>
      </c>
      <c r="J912" t="s">
        <v>17</v>
      </c>
      <c r="K912" t="s">
        <v>3638</v>
      </c>
      <c r="L912" t="s">
        <v>3639</v>
      </c>
      <c r="M912" t="s">
        <v>3640</v>
      </c>
      <c r="N912" t="s">
        <v>394</v>
      </c>
    </row>
    <row r="913" spans="1:14" ht="11.25" customHeight="1">
      <c r="A913" t="s">
        <v>2191</v>
      </c>
      <c r="B913" t="s">
        <v>14</v>
      </c>
      <c r="C913" t="s">
        <v>3464</v>
      </c>
      <c r="D913" t="s">
        <v>3465</v>
      </c>
      <c r="E913" t="s">
        <v>3466</v>
      </c>
      <c r="F913" t="s">
        <v>2451</v>
      </c>
      <c r="G913" t="s">
        <v>3467</v>
      </c>
      <c r="H913" t="s">
        <v>17</v>
      </c>
      <c r="I913" t="s">
        <v>2319</v>
      </c>
      <c r="J913" t="s">
        <v>2319</v>
      </c>
      <c r="K913" t="s">
        <v>3613</v>
      </c>
      <c r="L913" t="s">
        <v>3614</v>
      </c>
      <c r="M913" t="s">
        <v>3615</v>
      </c>
      <c r="N913" t="s">
        <v>394</v>
      </c>
    </row>
    <row r="914" spans="1:14" ht="11.25" customHeight="1">
      <c r="A914" t="s">
        <v>2191</v>
      </c>
      <c r="B914" t="s">
        <v>14</v>
      </c>
      <c r="C914" t="s">
        <v>3468</v>
      </c>
      <c r="D914" t="s">
        <v>3469</v>
      </c>
      <c r="E914" t="s">
        <v>3470</v>
      </c>
      <c r="F914" t="s">
        <v>2712</v>
      </c>
      <c r="G914" t="s">
        <v>17</v>
      </c>
      <c r="H914" t="s">
        <v>17</v>
      </c>
      <c r="I914" t="s">
        <v>2235</v>
      </c>
      <c r="J914" t="s">
        <v>17</v>
      </c>
      <c r="K914" t="s">
        <v>3613</v>
      </c>
      <c r="L914" t="s">
        <v>3614</v>
      </c>
      <c r="M914" t="s">
        <v>3615</v>
      </c>
      <c r="N914" t="s">
        <v>394</v>
      </c>
    </row>
    <row r="915" spans="1:14" ht="11.25" customHeight="1">
      <c r="A915" t="s">
        <v>2191</v>
      </c>
      <c r="B915" t="s">
        <v>14</v>
      </c>
      <c r="C915" t="s">
        <v>3476</v>
      </c>
      <c r="D915" t="s">
        <v>3477</v>
      </c>
      <c r="E915" t="s">
        <v>3478</v>
      </c>
      <c r="F915" t="s">
        <v>2447</v>
      </c>
      <c r="G915" t="s">
        <v>3479</v>
      </c>
      <c r="H915" t="s">
        <v>17</v>
      </c>
      <c r="I915" t="s">
        <v>2319</v>
      </c>
      <c r="J915" t="s">
        <v>17</v>
      </c>
      <c r="K915" t="s">
        <v>3638</v>
      </c>
      <c r="L915" t="s">
        <v>3639</v>
      </c>
      <c r="M915" t="s">
        <v>3640</v>
      </c>
      <c r="N915" t="s">
        <v>394</v>
      </c>
    </row>
    <row r="916" spans="1:14" ht="11.25" customHeight="1">
      <c r="A916" t="s">
        <v>2191</v>
      </c>
      <c r="B916" t="s">
        <v>14</v>
      </c>
      <c r="C916" t="s">
        <v>3480</v>
      </c>
      <c r="D916" t="s">
        <v>3481</v>
      </c>
      <c r="E916" t="s">
        <v>3482</v>
      </c>
      <c r="F916" t="s">
        <v>2447</v>
      </c>
      <c r="G916" t="s">
        <v>17</v>
      </c>
      <c r="H916" t="s">
        <v>17</v>
      </c>
      <c r="I916" t="s">
        <v>2319</v>
      </c>
      <c r="J916" t="s">
        <v>17</v>
      </c>
      <c r="K916" t="s">
        <v>3638</v>
      </c>
      <c r="L916" t="s">
        <v>3639</v>
      </c>
      <c r="M916" t="s">
        <v>3640</v>
      </c>
      <c r="N916" t="s">
        <v>394</v>
      </c>
    </row>
    <row r="917" spans="1:14" ht="11.25" customHeight="1">
      <c r="A917" t="s">
        <v>2191</v>
      </c>
      <c r="B917" t="s">
        <v>14</v>
      </c>
      <c r="C917" t="s">
        <v>3483</v>
      </c>
      <c r="D917" t="s">
        <v>3484</v>
      </c>
      <c r="E917" t="s">
        <v>3485</v>
      </c>
      <c r="F917" t="s">
        <v>2414</v>
      </c>
      <c r="G917" t="s">
        <v>17</v>
      </c>
      <c r="H917" t="s">
        <v>17</v>
      </c>
      <c r="I917" t="s">
        <v>2319</v>
      </c>
      <c r="J917" t="s">
        <v>17</v>
      </c>
      <c r="K917" t="s">
        <v>3613</v>
      </c>
      <c r="L917" t="s">
        <v>3614</v>
      </c>
      <c r="M917" t="s">
        <v>3615</v>
      </c>
      <c r="N917" t="s">
        <v>394</v>
      </c>
    </row>
    <row r="918" spans="1:14" ht="11.25" customHeight="1">
      <c r="A918" t="s">
        <v>2191</v>
      </c>
      <c r="B918" t="s">
        <v>14</v>
      </c>
      <c r="C918" t="s">
        <v>3668</v>
      </c>
      <c r="D918" t="s">
        <v>3669</v>
      </c>
      <c r="E918" t="s">
        <v>3670</v>
      </c>
      <c r="F918" t="s">
        <v>2257</v>
      </c>
      <c r="G918" t="s">
        <v>17</v>
      </c>
      <c r="H918" t="s">
        <v>17</v>
      </c>
      <c r="I918" t="s">
        <v>3671</v>
      </c>
      <c r="J918" t="s">
        <v>17</v>
      </c>
      <c r="K918" t="s">
        <v>3613</v>
      </c>
      <c r="L918" t="s">
        <v>3657</v>
      </c>
      <c r="M918" t="s">
        <v>3658</v>
      </c>
      <c r="N918" t="s">
        <v>394</v>
      </c>
    </row>
    <row r="919" spans="1:14" ht="11.25" customHeight="1">
      <c r="A919" t="s">
        <v>2191</v>
      </c>
      <c r="B919" t="s">
        <v>14</v>
      </c>
      <c r="C919" t="s">
        <v>3672</v>
      </c>
      <c r="D919" t="s">
        <v>3673</v>
      </c>
      <c r="E919" t="s">
        <v>3674</v>
      </c>
      <c r="F919" t="s">
        <v>2248</v>
      </c>
      <c r="G919" t="s">
        <v>17</v>
      </c>
      <c r="H919" t="s">
        <v>17</v>
      </c>
      <c r="I919" t="s">
        <v>2196</v>
      </c>
      <c r="J919" t="s">
        <v>17</v>
      </c>
      <c r="K919" t="s">
        <v>3613</v>
      </c>
      <c r="L919" t="s">
        <v>3614</v>
      </c>
      <c r="M919" t="s">
        <v>3615</v>
      </c>
      <c r="N919" t="s">
        <v>394</v>
      </c>
    </row>
    <row r="920" spans="1:14" ht="11.25" customHeight="1">
      <c r="A920" t="s">
        <v>2191</v>
      </c>
      <c r="B920" t="s">
        <v>14</v>
      </c>
      <c r="C920" t="s">
        <v>2753</v>
      </c>
      <c r="D920" t="s">
        <v>2754</v>
      </c>
      <c r="E920" t="s">
        <v>2755</v>
      </c>
      <c r="F920" t="s">
        <v>2756</v>
      </c>
      <c r="G920" t="s">
        <v>17</v>
      </c>
      <c r="H920" t="s">
        <v>17</v>
      </c>
      <c r="I920" t="s">
        <v>2319</v>
      </c>
      <c r="J920" t="s">
        <v>17</v>
      </c>
      <c r="K920" t="s">
        <v>3638</v>
      </c>
      <c r="L920" t="s">
        <v>3639</v>
      </c>
      <c r="M920" t="s">
        <v>3640</v>
      </c>
      <c r="N920" t="s">
        <v>394</v>
      </c>
    </row>
    <row r="921" spans="1:14" ht="11.25" customHeight="1">
      <c r="A921" t="s">
        <v>2191</v>
      </c>
      <c r="B921" t="s">
        <v>14</v>
      </c>
      <c r="C921" t="s">
        <v>3675</v>
      </c>
      <c r="D921" t="s">
        <v>3676</v>
      </c>
      <c r="E921" t="s">
        <v>3677</v>
      </c>
      <c r="F921" t="s">
        <v>2211</v>
      </c>
      <c r="G921" t="s">
        <v>17</v>
      </c>
      <c r="H921" t="s">
        <v>17</v>
      </c>
      <c r="I921" t="s">
        <v>3678</v>
      </c>
      <c r="J921" t="s">
        <v>17</v>
      </c>
      <c r="K921" t="s">
        <v>3635</v>
      </c>
      <c r="L921" t="s">
        <v>3636</v>
      </c>
      <c r="M921" t="s">
        <v>3637</v>
      </c>
      <c r="N921" t="s">
        <v>394</v>
      </c>
    </row>
    <row r="922" spans="1:14" ht="11.25" customHeight="1">
      <c r="A922" t="s">
        <v>2191</v>
      </c>
      <c r="B922" t="s">
        <v>14</v>
      </c>
      <c r="C922" t="s">
        <v>3491</v>
      </c>
      <c r="D922" t="s">
        <v>3492</v>
      </c>
      <c r="E922" t="s">
        <v>3493</v>
      </c>
      <c r="F922" t="s">
        <v>2207</v>
      </c>
      <c r="G922" t="s">
        <v>3494</v>
      </c>
      <c r="H922" t="s">
        <v>17</v>
      </c>
      <c r="I922" t="s">
        <v>2841</v>
      </c>
      <c r="J922" t="s">
        <v>17</v>
      </c>
      <c r="K922" t="s">
        <v>3613</v>
      </c>
      <c r="L922" t="s">
        <v>3614</v>
      </c>
      <c r="M922" t="s">
        <v>3615</v>
      </c>
      <c r="N922" t="s">
        <v>394</v>
      </c>
    </row>
    <row r="923" spans="1:14" ht="11.25" customHeight="1">
      <c r="A923" t="s">
        <v>2191</v>
      </c>
      <c r="B923" t="s">
        <v>14</v>
      </c>
      <c r="C923" t="s">
        <v>3495</v>
      </c>
      <c r="D923" t="s">
        <v>3496</v>
      </c>
      <c r="E923" t="s">
        <v>3497</v>
      </c>
      <c r="F923" t="s">
        <v>2374</v>
      </c>
      <c r="G923" t="s">
        <v>17</v>
      </c>
      <c r="H923" t="s">
        <v>17</v>
      </c>
      <c r="I923" t="s">
        <v>3498</v>
      </c>
      <c r="J923" t="s">
        <v>17</v>
      </c>
      <c r="K923" t="s">
        <v>3638</v>
      </c>
      <c r="L923" t="s">
        <v>3639</v>
      </c>
      <c r="M923" t="s">
        <v>3640</v>
      </c>
      <c r="N923" t="s">
        <v>394</v>
      </c>
    </row>
    <row r="924" spans="1:14" ht="11.25" customHeight="1">
      <c r="A924" t="s">
        <v>2191</v>
      </c>
      <c r="B924" t="s">
        <v>14</v>
      </c>
      <c r="C924" t="s">
        <v>3679</v>
      </c>
      <c r="D924" t="s">
        <v>3680</v>
      </c>
      <c r="E924" t="s">
        <v>3681</v>
      </c>
      <c r="F924" t="s">
        <v>2257</v>
      </c>
      <c r="G924" t="s">
        <v>17</v>
      </c>
      <c r="H924" t="s">
        <v>17</v>
      </c>
      <c r="I924" t="s">
        <v>2442</v>
      </c>
      <c r="J924" t="s">
        <v>17</v>
      </c>
      <c r="K924" t="s">
        <v>3613</v>
      </c>
      <c r="L924" t="s">
        <v>3614</v>
      </c>
      <c r="M924" t="s">
        <v>3615</v>
      </c>
      <c r="N924" t="s">
        <v>394</v>
      </c>
    </row>
    <row r="925" spans="1:14" ht="11.25" customHeight="1">
      <c r="A925" t="s">
        <v>2191</v>
      </c>
      <c r="B925" t="s">
        <v>14</v>
      </c>
      <c r="C925" t="s">
        <v>3682</v>
      </c>
      <c r="D925" t="s">
        <v>3683</v>
      </c>
      <c r="E925" t="s">
        <v>3684</v>
      </c>
      <c r="F925" t="s">
        <v>2234</v>
      </c>
      <c r="G925" t="s">
        <v>17</v>
      </c>
      <c r="H925" t="s">
        <v>17</v>
      </c>
      <c r="I925" t="s">
        <v>2235</v>
      </c>
      <c r="J925" t="s">
        <v>17</v>
      </c>
      <c r="K925" t="s">
        <v>3613</v>
      </c>
      <c r="L925" t="s">
        <v>3614</v>
      </c>
      <c r="M925" t="s">
        <v>3615</v>
      </c>
      <c r="N925" t="s">
        <v>394</v>
      </c>
    </row>
    <row r="926" spans="1:14" ht="11.25" customHeight="1">
      <c r="A926" t="s">
        <v>2191</v>
      </c>
      <c r="B926" t="s">
        <v>14</v>
      </c>
      <c r="C926" t="s">
        <v>3499</v>
      </c>
      <c r="D926" t="s">
        <v>3500</v>
      </c>
      <c r="E926" t="s">
        <v>3501</v>
      </c>
      <c r="F926" t="s">
        <v>3502</v>
      </c>
      <c r="G926" t="s">
        <v>17</v>
      </c>
      <c r="H926" t="s">
        <v>17</v>
      </c>
      <c r="I926" t="s">
        <v>2319</v>
      </c>
      <c r="J926" t="s">
        <v>2319</v>
      </c>
      <c r="K926" t="s">
        <v>3613</v>
      </c>
      <c r="L926" t="s">
        <v>3614</v>
      </c>
      <c r="M926" t="s">
        <v>3615</v>
      </c>
      <c r="N926" t="s">
        <v>394</v>
      </c>
    </row>
    <row r="927" spans="1:14" ht="11.25" customHeight="1">
      <c r="A927" t="s">
        <v>2191</v>
      </c>
      <c r="B927" t="s">
        <v>14</v>
      </c>
      <c r="C927" t="s">
        <v>3503</v>
      </c>
      <c r="D927" t="s">
        <v>3504</v>
      </c>
      <c r="E927" t="s">
        <v>3505</v>
      </c>
      <c r="F927" t="s">
        <v>2712</v>
      </c>
      <c r="G927" t="s">
        <v>17</v>
      </c>
      <c r="H927" t="s">
        <v>17</v>
      </c>
      <c r="I927" t="s">
        <v>2669</v>
      </c>
      <c r="J927" t="s">
        <v>17</v>
      </c>
      <c r="K927" t="s">
        <v>3638</v>
      </c>
      <c r="L927" t="s">
        <v>3659</v>
      </c>
      <c r="M927" t="s">
        <v>3660</v>
      </c>
      <c r="N927" t="s">
        <v>394</v>
      </c>
    </row>
    <row r="928" spans="1:14" ht="11.25" customHeight="1">
      <c r="A928" t="s">
        <v>2191</v>
      </c>
      <c r="B928" t="s">
        <v>14</v>
      </c>
      <c r="C928" t="s">
        <v>3506</v>
      </c>
      <c r="D928" t="s">
        <v>3507</v>
      </c>
      <c r="E928" t="s">
        <v>3508</v>
      </c>
      <c r="F928" t="s">
        <v>2447</v>
      </c>
      <c r="G928" t="s">
        <v>17</v>
      </c>
      <c r="H928" t="s">
        <v>17</v>
      </c>
      <c r="I928" t="s">
        <v>2319</v>
      </c>
      <c r="J928" t="s">
        <v>17</v>
      </c>
      <c r="K928" t="s">
        <v>3613</v>
      </c>
      <c r="L928" t="s">
        <v>3614</v>
      </c>
      <c r="M928" t="s">
        <v>3615</v>
      </c>
      <c r="N928" t="s">
        <v>394</v>
      </c>
    </row>
    <row r="929" spans="1:14" ht="11.25" customHeight="1">
      <c r="A929" t="s">
        <v>2191</v>
      </c>
      <c r="B929" t="s">
        <v>14</v>
      </c>
      <c r="C929" t="s">
        <v>3517</v>
      </c>
      <c r="D929" t="s">
        <v>3518</v>
      </c>
      <c r="E929" t="s">
        <v>3519</v>
      </c>
      <c r="F929" t="s">
        <v>3520</v>
      </c>
      <c r="G929" t="s">
        <v>17</v>
      </c>
      <c r="H929" t="s">
        <v>17</v>
      </c>
      <c r="I929" t="s">
        <v>2319</v>
      </c>
      <c r="J929" t="s">
        <v>17</v>
      </c>
      <c r="K929" t="s">
        <v>3613</v>
      </c>
      <c r="L929" t="s">
        <v>3614</v>
      </c>
      <c r="M929" t="s">
        <v>3615</v>
      </c>
      <c r="N929" t="s">
        <v>394</v>
      </c>
    </row>
    <row r="930" spans="1:14" ht="11.25" customHeight="1">
      <c r="A930" t="s">
        <v>2191</v>
      </c>
      <c r="B930" t="s">
        <v>14</v>
      </c>
      <c r="C930" t="s">
        <v>3521</v>
      </c>
      <c r="D930" t="s">
        <v>3522</v>
      </c>
      <c r="E930" t="s">
        <v>3523</v>
      </c>
      <c r="F930" t="s">
        <v>2244</v>
      </c>
      <c r="G930" t="s">
        <v>17</v>
      </c>
      <c r="H930" t="s">
        <v>17</v>
      </c>
      <c r="I930" t="s">
        <v>2235</v>
      </c>
      <c r="J930" t="s">
        <v>17</v>
      </c>
      <c r="K930" t="s">
        <v>3613</v>
      </c>
      <c r="L930" t="s">
        <v>3614</v>
      </c>
      <c r="M930" t="s">
        <v>3615</v>
      </c>
      <c r="N930" t="s">
        <v>394</v>
      </c>
    </row>
    <row r="931" spans="1:14" ht="11.25" customHeight="1">
      <c r="A931" t="s">
        <v>2191</v>
      </c>
      <c r="B931" t="s">
        <v>14</v>
      </c>
      <c r="C931" t="s">
        <v>3524</v>
      </c>
      <c r="D931" t="s">
        <v>3525</v>
      </c>
      <c r="E931" t="s">
        <v>3526</v>
      </c>
      <c r="F931" t="s">
        <v>2712</v>
      </c>
      <c r="G931" t="s">
        <v>17</v>
      </c>
      <c r="H931" t="s">
        <v>17</v>
      </c>
      <c r="I931" t="s">
        <v>2235</v>
      </c>
      <c r="J931" t="s">
        <v>17</v>
      </c>
      <c r="K931" t="s">
        <v>3613</v>
      </c>
      <c r="L931" t="s">
        <v>3614</v>
      </c>
      <c r="M931" t="s">
        <v>3615</v>
      </c>
      <c r="N931" t="s">
        <v>394</v>
      </c>
    </row>
    <row r="932" spans="1:14" ht="11.25" customHeight="1">
      <c r="A932" t="s">
        <v>2191</v>
      </c>
      <c r="B932" t="s">
        <v>14</v>
      </c>
      <c r="C932" t="s">
        <v>3527</v>
      </c>
      <c r="D932" t="s">
        <v>3528</v>
      </c>
      <c r="E932" t="s">
        <v>3529</v>
      </c>
      <c r="F932" t="s">
        <v>2202</v>
      </c>
      <c r="G932" t="s">
        <v>17</v>
      </c>
      <c r="H932" t="s">
        <v>17</v>
      </c>
      <c r="I932" t="s">
        <v>3530</v>
      </c>
      <c r="J932" t="s">
        <v>17</v>
      </c>
      <c r="K932" t="s">
        <v>3613</v>
      </c>
      <c r="L932" t="s">
        <v>3614</v>
      </c>
      <c r="M932" t="s">
        <v>3615</v>
      </c>
      <c r="N932" t="s">
        <v>394</v>
      </c>
    </row>
    <row r="933" spans="1:14" ht="11.25" customHeight="1">
      <c r="A933" t="s">
        <v>2191</v>
      </c>
      <c r="B933" t="s">
        <v>14</v>
      </c>
      <c r="C933" t="s">
        <v>2856</v>
      </c>
      <c r="D933" t="s">
        <v>2857</v>
      </c>
      <c r="E933" t="s">
        <v>2858</v>
      </c>
      <c r="F933" t="s">
        <v>51</v>
      </c>
      <c r="G933" t="s">
        <v>2859</v>
      </c>
      <c r="H933" t="s">
        <v>17</v>
      </c>
      <c r="I933" t="s">
        <v>2314</v>
      </c>
      <c r="J933" t="s">
        <v>17</v>
      </c>
      <c r="K933" t="s">
        <v>3613</v>
      </c>
      <c r="L933" t="s">
        <v>3614</v>
      </c>
      <c r="M933" t="s">
        <v>3615</v>
      </c>
      <c r="N933" t="s">
        <v>394</v>
      </c>
    </row>
    <row r="934" spans="1:14" ht="11.25" customHeight="1">
      <c r="A934" t="s">
        <v>2191</v>
      </c>
      <c r="B934" t="s">
        <v>14</v>
      </c>
      <c r="C934" t="s">
        <v>2860</v>
      </c>
      <c r="D934" t="s">
        <v>2861</v>
      </c>
      <c r="E934" t="s">
        <v>2862</v>
      </c>
      <c r="F934" t="s">
        <v>2280</v>
      </c>
      <c r="G934" t="s">
        <v>17</v>
      </c>
      <c r="H934" t="s">
        <v>17</v>
      </c>
      <c r="I934" t="s">
        <v>3685</v>
      </c>
      <c r="J934" t="s">
        <v>17</v>
      </c>
      <c r="K934" t="s">
        <v>3620</v>
      </c>
      <c r="L934" t="s">
        <v>3621</v>
      </c>
      <c r="M934" t="s">
        <v>3622</v>
      </c>
      <c r="N934" t="s">
        <v>394</v>
      </c>
    </row>
    <row r="935" spans="1:14" ht="11.25" customHeight="1">
      <c r="A935" t="s">
        <v>2191</v>
      </c>
      <c r="B935" t="s">
        <v>14</v>
      </c>
      <c r="C935" t="s">
        <v>3535</v>
      </c>
      <c r="D935" t="s">
        <v>3536</v>
      </c>
      <c r="E935" t="s">
        <v>3537</v>
      </c>
      <c r="F935" t="s">
        <v>51</v>
      </c>
      <c r="G935" t="s">
        <v>17</v>
      </c>
      <c r="H935" t="s">
        <v>17</v>
      </c>
      <c r="I935" t="s">
        <v>2314</v>
      </c>
      <c r="J935" t="s">
        <v>17</v>
      </c>
      <c r="K935" t="s">
        <v>3638</v>
      </c>
      <c r="L935" t="s">
        <v>3639</v>
      </c>
      <c r="M935" t="s">
        <v>3640</v>
      </c>
      <c r="N935" t="s">
        <v>394</v>
      </c>
    </row>
    <row r="936" spans="1:14" ht="11.25" customHeight="1">
      <c r="A936" t="s">
        <v>2191</v>
      </c>
      <c r="B936" t="s">
        <v>14</v>
      </c>
      <c r="C936" t="s">
        <v>3539</v>
      </c>
      <c r="D936" t="s">
        <v>3536</v>
      </c>
      <c r="E936" t="s">
        <v>3540</v>
      </c>
      <c r="F936" t="s">
        <v>2211</v>
      </c>
      <c r="G936" t="s">
        <v>17</v>
      </c>
      <c r="H936" t="s">
        <v>17</v>
      </c>
      <c r="I936" t="s">
        <v>3541</v>
      </c>
      <c r="J936" t="s">
        <v>17</v>
      </c>
      <c r="K936" t="s">
        <v>3613</v>
      </c>
      <c r="L936" t="s">
        <v>3614</v>
      </c>
      <c r="M936" t="s">
        <v>3615</v>
      </c>
      <c r="N936" t="s">
        <v>394</v>
      </c>
    </row>
    <row r="937" spans="1:14" ht="11.25" customHeight="1">
      <c r="A937" t="s">
        <v>2191</v>
      </c>
      <c r="B937" t="s">
        <v>14</v>
      </c>
      <c r="C937" t="s">
        <v>2868</v>
      </c>
      <c r="D937" t="s">
        <v>2869</v>
      </c>
      <c r="E937" t="s">
        <v>2870</v>
      </c>
      <c r="F937" t="s">
        <v>2422</v>
      </c>
      <c r="G937" t="s">
        <v>17</v>
      </c>
      <c r="H937" t="s">
        <v>17</v>
      </c>
      <c r="I937" t="s">
        <v>2315</v>
      </c>
      <c r="J937" t="s">
        <v>2319</v>
      </c>
      <c r="K937" t="s">
        <v>3613</v>
      </c>
      <c r="L937" t="s">
        <v>3614</v>
      </c>
      <c r="M937" t="s">
        <v>3615</v>
      </c>
      <c r="N937" t="s">
        <v>394</v>
      </c>
    </row>
    <row r="938" spans="1:14" ht="11.25" customHeight="1">
      <c r="A938" t="s">
        <v>2191</v>
      </c>
      <c r="B938" t="s">
        <v>14</v>
      </c>
      <c r="C938" t="s">
        <v>3545</v>
      </c>
      <c r="D938" t="s">
        <v>3546</v>
      </c>
      <c r="E938" t="s">
        <v>3547</v>
      </c>
      <c r="F938" t="s">
        <v>2530</v>
      </c>
      <c r="G938" t="s">
        <v>17</v>
      </c>
      <c r="H938" t="s">
        <v>17</v>
      </c>
      <c r="I938" t="s">
        <v>2319</v>
      </c>
      <c r="J938" t="s">
        <v>17</v>
      </c>
      <c r="K938" t="s">
        <v>3613</v>
      </c>
      <c r="L938" t="s">
        <v>3614</v>
      </c>
      <c r="M938" t="s">
        <v>3615</v>
      </c>
      <c r="N938" t="s">
        <v>394</v>
      </c>
    </row>
    <row r="939" spans="1:14" ht="11.25" customHeight="1">
      <c r="A939" t="s">
        <v>2191</v>
      </c>
      <c r="B939" t="s">
        <v>14</v>
      </c>
      <c r="C939" t="s">
        <v>3228</v>
      </c>
      <c r="D939" t="s">
        <v>3229</v>
      </c>
      <c r="E939" t="s">
        <v>3230</v>
      </c>
      <c r="F939" t="s">
        <v>2640</v>
      </c>
      <c r="G939" t="s">
        <v>3231</v>
      </c>
      <c r="H939" t="s">
        <v>17</v>
      </c>
      <c r="I939" t="s">
        <v>2319</v>
      </c>
      <c r="J939" t="s">
        <v>2319</v>
      </c>
      <c r="K939" t="s">
        <v>3613</v>
      </c>
      <c r="L939" t="s">
        <v>3614</v>
      </c>
      <c r="M939" t="s">
        <v>3615</v>
      </c>
      <c r="N939" t="s">
        <v>394</v>
      </c>
    </row>
    <row r="940" spans="1:14" ht="11.25" customHeight="1">
      <c r="A940" t="s">
        <v>2191</v>
      </c>
      <c r="B940" t="s">
        <v>14</v>
      </c>
      <c r="C940" t="s">
        <v>3686</v>
      </c>
      <c r="D940" t="s">
        <v>3687</v>
      </c>
      <c r="E940" t="s">
        <v>3688</v>
      </c>
      <c r="F940" t="s">
        <v>2467</v>
      </c>
      <c r="G940" t="s">
        <v>17</v>
      </c>
      <c r="H940" t="s">
        <v>17</v>
      </c>
      <c r="I940" t="s">
        <v>2319</v>
      </c>
      <c r="J940" t="s">
        <v>17</v>
      </c>
      <c r="K940" t="s">
        <v>3620</v>
      </c>
      <c r="L940" t="s">
        <v>3621</v>
      </c>
      <c r="M940" t="s">
        <v>3622</v>
      </c>
      <c r="N940" t="s">
        <v>394</v>
      </c>
    </row>
    <row r="941" spans="1:14" ht="11.25" customHeight="1">
      <c r="A941" t="s">
        <v>2191</v>
      </c>
      <c r="B941" t="s">
        <v>14</v>
      </c>
      <c r="C941" t="s">
        <v>3557</v>
      </c>
      <c r="D941" t="s">
        <v>3558</v>
      </c>
      <c r="E941" t="s">
        <v>3559</v>
      </c>
      <c r="F941" t="s">
        <v>2207</v>
      </c>
      <c r="G941" t="s">
        <v>17</v>
      </c>
      <c r="H941" t="s">
        <v>17</v>
      </c>
      <c r="I941" t="s">
        <v>2319</v>
      </c>
      <c r="J941" t="s">
        <v>17</v>
      </c>
      <c r="K941" t="s">
        <v>3638</v>
      </c>
      <c r="L941" t="s">
        <v>3659</v>
      </c>
      <c r="M941" t="s">
        <v>3660</v>
      </c>
      <c r="N941" t="s">
        <v>394</v>
      </c>
    </row>
    <row r="942" spans="1:14" ht="11.25" customHeight="1">
      <c r="A942" t="s">
        <v>2191</v>
      </c>
      <c r="B942" t="s">
        <v>14</v>
      </c>
      <c r="C942" t="s">
        <v>3560</v>
      </c>
      <c r="D942" t="s">
        <v>3561</v>
      </c>
      <c r="E942" t="s">
        <v>3562</v>
      </c>
      <c r="F942" t="s">
        <v>2248</v>
      </c>
      <c r="G942" t="s">
        <v>3563</v>
      </c>
      <c r="H942" t="s">
        <v>17</v>
      </c>
      <c r="I942" t="s">
        <v>2319</v>
      </c>
      <c r="J942" t="s">
        <v>17</v>
      </c>
      <c r="K942" t="s">
        <v>3613</v>
      </c>
      <c r="L942" t="s">
        <v>3614</v>
      </c>
      <c r="M942" t="s">
        <v>3615</v>
      </c>
      <c r="N942" t="s">
        <v>394</v>
      </c>
    </row>
    <row r="943" spans="1:14" ht="11.25" customHeight="1">
      <c r="A943" t="s">
        <v>2191</v>
      </c>
      <c r="B943" t="s">
        <v>14</v>
      </c>
      <c r="C943" t="s">
        <v>3567</v>
      </c>
      <c r="D943" t="s">
        <v>3568</v>
      </c>
      <c r="E943" t="s">
        <v>3569</v>
      </c>
      <c r="F943" t="s">
        <v>2640</v>
      </c>
      <c r="G943" t="s">
        <v>3570</v>
      </c>
      <c r="H943" t="s">
        <v>17</v>
      </c>
      <c r="I943" t="s">
        <v>2319</v>
      </c>
      <c r="J943" t="s">
        <v>17</v>
      </c>
      <c r="K943" t="s">
        <v>3613</v>
      </c>
      <c r="L943" t="s">
        <v>3614</v>
      </c>
      <c r="M943" t="s">
        <v>3615</v>
      </c>
      <c r="N943" t="s">
        <v>394</v>
      </c>
    </row>
    <row r="944" spans="1:14" ht="11.25" customHeight="1">
      <c r="A944" t="s">
        <v>2191</v>
      </c>
      <c r="B944" t="s">
        <v>14</v>
      </c>
      <c r="C944" t="s">
        <v>3571</v>
      </c>
      <c r="D944" t="s">
        <v>3572</v>
      </c>
      <c r="E944" t="s">
        <v>3573</v>
      </c>
      <c r="F944" t="s">
        <v>2244</v>
      </c>
      <c r="G944" t="s">
        <v>17</v>
      </c>
      <c r="H944" t="s">
        <v>17</v>
      </c>
      <c r="I944" t="s">
        <v>2235</v>
      </c>
      <c r="J944" t="s">
        <v>17</v>
      </c>
      <c r="K944" t="s">
        <v>3613</v>
      </c>
      <c r="L944" t="s">
        <v>3614</v>
      </c>
      <c r="M944" t="s">
        <v>3615</v>
      </c>
      <c r="N944" t="s">
        <v>394</v>
      </c>
    </row>
    <row r="945" spans="1:14" ht="11.25" customHeight="1">
      <c r="A945" t="s">
        <v>2191</v>
      </c>
      <c r="B945" t="s">
        <v>14</v>
      </c>
      <c r="C945" t="s">
        <v>3689</v>
      </c>
      <c r="D945" t="s">
        <v>3690</v>
      </c>
      <c r="E945" t="s">
        <v>3691</v>
      </c>
      <c r="F945" t="s">
        <v>2296</v>
      </c>
      <c r="G945" t="s">
        <v>17</v>
      </c>
      <c r="H945" t="s">
        <v>17</v>
      </c>
      <c r="I945" t="s">
        <v>3665</v>
      </c>
      <c r="J945" t="s">
        <v>17</v>
      </c>
      <c r="K945" t="s">
        <v>3613</v>
      </c>
      <c r="L945" t="s">
        <v>3614</v>
      </c>
      <c r="M945" t="s">
        <v>3615</v>
      </c>
      <c r="N945" t="s">
        <v>394</v>
      </c>
    </row>
    <row r="946" spans="1:14" ht="11.25" customHeight="1">
      <c r="A946" t="s">
        <v>2191</v>
      </c>
      <c r="B946" t="s">
        <v>14</v>
      </c>
      <c r="C946" t="s">
        <v>2985</v>
      </c>
      <c r="D946" t="s">
        <v>2986</v>
      </c>
      <c r="E946" t="s">
        <v>2987</v>
      </c>
      <c r="F946" t="s">
        <v>2530</v>
      </c>
      <c r="G946" t="s">
        <v>2988</v>
      </c>
      <c r="H946" t="s">
        <v>17</v>
      </c>
      <c r="I946" t="s">
        <v>2319</v>
      </c>
      <c r="J946" t="s">
        <v>17</v>
      </c>
      <c r="K946" t="s">
        <v>3613</v>
      </c>
      <c r="L946" t="s">
        <v>3614</v>
      </c>
      <c r="M946" t="s">
        <v>3615</v>
      </c>
      <c r="N946" t="s">
        <v>394</v>
      </c>
    </row>
    <row r="947" spans="1:14" ht="11.25" customHeight="1">
      <c r="A947" t="s">
        <v>2191</v>
      </c>
      <c r="B947" t="s">
        <v>14</v>
      </c>
      <c r="C947" t="s">
        <v>2998</v>
      </c>
      <c r="D947" t="s">
        <v>2999</v>
      </c>
      <c r="E947" t="s">
        <v>3000</v>
      </c>
      <c r="F947" t="s">
        <v>2374</v>
      </c>
      <c r="G947" t="s">
        <v>17</v>
      </c>
      <c r="H947" t="s">
        <v>17</v>
      </c>
      <c r="I947" t="s">
        <v>3001</v>
      </c>
      <c r="J947" t="s">
        <v>17</v>
      </c>
      <c r="K947" t="s">
        <v>3638</v>
      </c>
      <c r="L947" t="s">
        <v>3639</v>
      </c>
      <c r="M947" t="s">
        <v>3640</v>
      </c>
      <c r="N947" t="s">
        <v>394</v>
      </c>
    </row>
    <row r="948" spans="1:14" ht="11.25" customHeight="1">
      <c r="A948" t="s">
        <v>2191</v>
      </c>
      <c r="B948" t="s">
        <v>14</v>
      </c>
      <c r="C948" t="s">
        <v>3579</v>
      </c>
      <c r="D948" t="s">
        <v>3580</v>
      </c>
      <c r="E948" t="s">
        <v>3581</v>
      </c>
      <c r="F948" t="s">
        <v>2414</v>
      </c>
      <c r="G948" t="s">
        <v>17</v>
      </c>
      <c r="H948" t="s">
        <v>17</v>
      </c>
      <c r="I948" t="s">
        <v>2319</v>
      </c>
      <c r="J948" t="s">
        <v>17</v>
      </c>
      <c r="K948" t="s">
        <v>3613</v>
      </c>
      <c r="L948" t="s">
        <v>3614</v>
      </c>
      <c r="M948" t="s">
        <v>3615</v>
      </c>
      <c r="N948" t="s">
        <v>394</v>
      </c>
    </row>
    <row r="949" spans="1:14" ht="11.25" customHeight="1">
      <c r="A949" t="s">
        <v>2191</v>
      </c>
      <c r="B949" t="s">
        <v>14</v>
      </c>
      <c r="C949" t="s">
        <v>3692</v>
      </c>
      <c r="D949" t="s">
        <v>3693</v>
      </c>
      <c r="E949" t="s">
        <v>3694</v>
      </c>
      <c r="F949" t="s">
        <v>2248</v>
      </c>
      <c r="G949" t="s">
        <v>17</v>
      </c>
      <c r="H949" t="s">
        <v>17</v>
      </c>
      <c r="I949" t="s">
        <v>2319</v>
      </c>
      <c r="J949" t="s">
        <v>17</v>
      </c>
      <c r="K949" t="s">
        <v>3638</v>
      </c>
      <c r="L949" t="s">
        <v>3659</v>
      </c>
      <c r="M949" t="s">
        <v>3660</v>
      </c>
      <c r="N949" t="s">
        <v>394</v>
      </c>
    </row>
    <row r="950" spans="1:14" ht="11.25" customHeight="1">
      <c r="A950" t="s">
        <v>2191</v>
      </c>
      <c r="B950" t="s">
        <v>14</v>
      </c>
      <c r="C950" t="s">
        <v>3585</v>
      </c>
      <c r="D950" t="s">
        <v>3586</v>
      </c>
      <c r="E950" t="s">
        <v>3587</v>
      </c>
      <c r="F950" t="s">
        <v>2248</v>
      </c>
      <c r="G950" t="s">
        <v>17</v>
      </c>
      <c r="H950" t="s">
        <v>17</v>
      </c>
      <c r="I950" t="s">
        <v>3588</v>
      </c>
      <c r="J950" t="s">
        <v>17</v>
      </c>
      <c r="K950" t="s">
        <v>3638</v>
      </c>
      <c r="L950" t="s">
        <v>3639</v>
      </c>
      <c r="M950" t="s">
        <v>3640</v>
      </c>
      <c r="N950" t="s">
        <v>394</v>
      </c>
    </row>
    <row r="951" spans="1:14" ht="11.25" customHeight="1">
      <c r="A951" t="s">
        <v>2191</v>
      </c>
      <c r="B951" t="s">
        <v>14</v>
      </c>
      <c r="C951" t="s">
        <v>3591</v>
      </c>
      <c r="D951" t="s">
        <v>3592</v>
      </c>
      <c r="E951" t="s">
        <v>3593</v>
      </c>
      <c r="F951" t="s">
        <v>2739</v>
      </c>
      <c r="G951" t="s">
        <v>17</v>
      </c>
      <c r="H951" t="s">
        <v>17</v>
      </c>
      <c r="I951" t="s">
        <v>2319</v>
      </c>
      <c r="J951" t="s">
        <v>17</v>
      </c>
      <c r="K951" t="s">
        <v>3613</v>
      </c>
      <c r="L951" t="s">
        <v>3614</v>
      </c>
      <c r="M951" t="s">
        <v>3615</v>
      </c>
      <c r="N951" t="s">
        <v>394</v>
      </c>
    </row>
    <row r="952" spans="1:14" ht="11.25" customHeight="1">
      <c r="A952" t="s">
        <v>2191</v>
      </c>
      <c r="B952" t="s">
        <v>14</v>
      </c>
      <c r="C952" t="s">
        <v>3594</v>
      </c>
      <c r="D952" t="s">
        <v>3595</v>
      </c>
      <c r="E952" t="s">
        <v>3596</v>
      </c>
      <c r="F952" t="s">
        <v>3502</v>
      </c>
      <c r="G952" t="s">
        <v>17</v>
      </c>
      <c r="H952" t="s">
        <v>17</v>
      </c>
      <c r="I952" t="s">
        <v>2319</v>
      </c>
      <c r="J952" t="s">
        <v>17</v>
      </c>
      <c r="K952" t="s">
        <v>3613</v>
      </c>
      <c r="L952" t="s">
        <v>3614</v>
      </c>
      <c r="M952" t="s">
        <v>3615</v>
      </c>
      <c r="N952" t="s">
        <v>394</v>
      </c>
    </row>
    <row r="953" spans="1:14" ht="11.25" customHeight="1">
      <c r="A953" t="s">
        <v>2191</v>
      </c>
      <c r="B953" t="s">
        <v>14</v>
      </c>
      <c r="C953" t="s">
        <v>3112</v>
      </c>
      <c r="D953" t="s">
        <v>3113</v>
      </c>
      <c r="E953" t="s">
        <v>3114</v>
      </c>
      <c r="F953" t="s">
        <v>2530</v>
      </c>
      <c r="G953" t="s">
        <v>17</v>
      </c>
      <c r="H953" t="s">
        <v>17</v>
      </c>
      <c r="I953" t="s">
        <v>2319</v>
      </c>
      <c r="J953" t="s">
        <v>17</v>
      </c>
      <c r="K953" t="s">
        <v>3613</v>
      </c>
      <c r="L953" t="s">
        <v>3614</v>
      </c>
      <c r="M953" t="s">
        <v>3615</v>
      </c>
      <c r="N953" t="s">
        <v>394</v>
      </c>
    </row>
    <row r="954" spans="1:14" ht="11.25" customHeight="1">
      <c r="A954" t="s">
        <v>2191</v>
      </c>
      <c r="B954" t="s">
        <v>14</v>
      </c>
      <c r="C954" t="s">
        <v>3115</v>
      </c>
      <c r="D954" t="s">
        <v>3116</v>
      </c>
      <c r="E954" t="s">
        <v>3117</v>
      </c>
      <c r="F954" t="s">
        <v>2262</v>
      </c>
      <c r="G954" t="s">
        <v>17</v>
      </c>
      <c r="H954" t="s">
        <v>17</v>
      </c>
      <c r="I954" t="s">
        <v>2458</v>
      </c>
      <c r="J954" t="s">
        <v>17</v>
      </c>
      <c r="K954" t="s">
        <v>3613</v>
      </c>
      <c r="L954" t="s">
        <v>3614</v>
      </c>
      <c r="M954" t="s">
        <v>3615</v>
      </c>
      <c r="N954" t="s">
        <v>394</v>
      </c>
    </row>
    <row r="955" spans="1:14" ht="11.25" customHeight="1">
      <c r="A955" t="s">
        <v>2191</v>
      </c>
      <c r="B955" t="s">
        <v>14</v>
      </c>
      <c r="C955" t="s">
        <v>3695</v>
      </c>
      <c r="D955" t="s">
        <v>3696</v>
      </c>
      <c r="E955" t="s">
        <v>3697</v>
      </c>
      <c r="F955" t="s">
        <v>2244</v>
      </c>
      <c r="G955" t="s">
        <v>17</v>
      </c>
      <c r="H955" t="s">
        <v>17</v>
      </c>
      <c r="I955" t="s">
        <v>2235</v>
      </c>
      <c r="J955" t="s">
        <v>17</v>
      </c>
      <c r="K955" t="s">
        <v>3613</v>
      </c>
      <c r="L955" t="s">
        <v>3614</v>
      </c>
      <c r="M955" t="s">
        <v>3615</v>
      </c>
      <c r="N955" t="s">
        <v>394</v>
      </c>
    </row>
    <row r="956" spans="1:14" ht="11.25" customHeight="1">
      <c r="A956" t="s">
        <v>2191</v>
      </c>
      <c r="B956" t="s">
        <v>14</v>
      </c>
      <c r="C956" t="s">
        <v>3125</v>
      </c>
      <c r="D956" t="s">
        <v>3126</v>
      </c>
      <c r="E956" t="s">
        <v>3127</v>
      </c>
      <c r="F956" t="s">
        <v>2244</v>
      </c>
      <c r="G956" t="s">
        <v>17</v>
      </c>
      <c r="H956" t="s">
        <v>17</v>
      </c>
      <c r="I956" t="s">
        <v>2235</v>
      </c>
      <c r="J956" t="s">
        <v>17</v>
      </c>
      <c r="K956" t="s">
        <v>3613</v>
      </c>
      <c r="L956" t="s">
        <v>3614</v>
      </c>
      <c r="M956" t="s">
        <v>3615</v>
      </c>
      <c r="N956" t="s">
        <v>394</v>
      </c>
    </row>
    <row r="957" spans="1:14" ht="11.25" customHeight="1">
      <c r="A957" t="s">
        <v>2191</v>
      </c>
      <c r="B957" t="s">
        <v>14</v>
      </c>
      <c r="C957" t="s">
        <v>3698</v>
      </c>
      <c r="D957" t="s">
        <v>3699</v>
      </c>
      <c r="E957" t="s">
        <v>3700</v>
      </c>
      <c r="F957" t="s">
        <v>2936</v>
      </c>
      <c r="G957" t="s">
        <v>17</v>
      </c>
      <c r="H957" t="s">
        <v>17</v>
      </c>
      <c r="I957" t="s">
        <v>2315</v>
      </c>
      <c r="J957" t="s">
        <v>2319</v>
      </c>
      <c r="K957" t="s">
        <v>3620</v>
      </c>
      <c r="L957" t="s">
        <v>3621</v>
      </c>
      <c r="M957" t="s">
        <v>3622</v>
      </c>
      <c r="N957" t="s">
        <v>394</v>
      </c>
    </row>
    <row r="958" spans="1:14" ht="11.25" customHeight="1">
      <c r="A958" t="s">
        <v>2191</v>
      </c>
      <c r="B958" t="s">
        <v>14</v>
      </c>
      <c r="C958" t="s">
        <v>3131</v>
      </c>
      <c r="D958" t="s">
        <v>3132</v>
      </c>
      <c r="E958" t="s">
        <v>3133</v>
      </c>
      <c r="F958" t="s">
        <v>2451</v>
      </c>
      <c r="G958" t="s">
        <v>17</v>
      </c>
      <c r="H958" t="s">
        <v>17</v>
      </c>
      <c r="I958" t="s">
        <v>2319</v>
      </c>
      <c r="J958" t="s">
        <v>17</v>
      </c>
      <c r="K958" t="s">
        <v>3613</v>
      </c>
      <c r="L958" t="s">
        <v>3614</v>
      </c>
      <c r="M958" t="s">
        <v>3615</v>
      </c>
      <c r="N958" t="s">
        <v>394</v>
      </c>
    </row>
    <row r="959" spans="1:14" ht="11.25" customHeight="1">
      <c r="A959" t="s">
        <v>2191</v>
      </c>
      <c r="B959" t="s">
        <v>14</v>
      </c>
      <c r="C959" t="s">
        <v>3134</v>
      </c>
      <c r="D959" t="s">
        <v>3135</v>
      </c>
      <c r="E959" t="s">
        <v>3136</v>
      </c>
      <c r="F959" t="s">
        <v>2677</v>
      </c>
      <c r="G959" t="s">
        <v>17</v>
      </c>
      <c r="H959" t="s">
        <v>17</v>
      </c>
      <c r="I959" t="s">
        <v>2442</v>
      </c>
      <c r="J959" t="s">
        <v>17</v>
      </c>
      <c r="K959" t="s">
        <v>3638</v>
      </c>
      <c r="L959" t="s">
        <v>3639</v>
      </c>
      <c r="M959" t="s">
        <v>3640</v>
      </c>
      <c r="N959" t="s">
        <v>394</v>
      </c>
    </row>
    <row r="960" spans="1:14" ht="11.25" customHeight="1">
      <c r="A960" t="s">
        <v>2191</v>
      </c>
      <c r="B960" t="s">
        <v>14</v>
      </c>
      <c r="C960" t="s">
        <v>3598</v>
      </c>
      <c r="D960" t="s">
        <v>3599</v>
      </c>
      <c r="E960" t="s">
        <v>3600</v>
      </c>
      <c r="F960" t="s">
        <v>2712</v>
      </c>
      <c r="G960" t="s">
        <v>17</v>
      </c>
      <c r="H960" t="s">
        <v>17</v>
      </c>
      <c r="I960" t="s">
        <v>2235</v>
      </c>
      <c r="J960" t="s">
        <v>17</v>
      </c>
      <c r="K960" t="s">
        <v>3638</v>
      </c>
      <c r="L960" t="s">
        <v>3639</v>
      </c>
      <c r="M960" t="s">
        <v>3640</v>
      </c>
      <c r="N960" t="s">
        <v>394</v>
      </c>
    </row>
    <row r="961" spans="1:14" ht="11.25" customHeight="1">
      <c r="A961" t="s">
        <v>2191</v>
      </c>
      <c r="B961" t="s">
        <v>14</v>
      </c>
      <c r="C961" t="s">
        <v>3601</v>
      </c>
      <c r="D961" t="s">
        <v>3602</v>
      </c>
      <c r="E961" t="s">
        <v>3603</v>
      </c>
      <c r="F961" t="s">
        <v>2447</v>
      </c>
      <c r="G961" t="s">
        <v>3604</v>
      </c>
      <c r="H961" t="s">
        <v>17</v>
      </c>
      <c r="I961" t="s">
        <v>2319</v>
      </c>
      <c r="J961" t="s">
        <v>17</v>
      </c>
      <c r="K961" t="s">
        <v>3638</v>
      </c>
      <c r="L961" t="s">
        <v>3639</v>
      </c>
      <c r="M961" t="s">
        <v>3640</v>
      </c>
      <c r="N961" t="s">
        <v>394</v>
      </c>
    </row>
    <row r="962" spans="1:14" ht="11.25" customHeight="1">
      <c r="A962" t="s">
        <v>2191</v>
      </c>
      <c r="B962" t="s">
        <v>14</v>
      </c>
      <c r="C962" t="s">
        <v>3141</v>
      </c>
      <c r="D962" t="s">
        <v>3142</v>
      </c>
      <c r="E962" t="s">
        <v>3143</v>
      </c>
      <c r="F962" t="s">
        <v>2447</v>
      </c>
      <c r="G962" t="s">
        <v>17</v>
      </c>
      <c r="H962" t="s">
        <v>17</v>
      </c>
      <c r="I962" t="s">
        <v>2319</v>
      </c>
      <c r="J962" t="s">
        <v>17</v>
      </c>
      <c r="K962" t="s">
        <v>3638</v>
      </c>
      <c r="L962" t="s">
        <v>3639</v>
      </c>
      <c r="M962" t="s">
        <v>3640</v>
      </c>
      <c r="N962" t="s">
        <v>394</v>
      </c>
    </row>
    <row r="963" spans="1:14" ht="11.25" customHeight="1">
      <c r="A963" t="s">
        <v>2191</v>
      </c>
      <c r="B963" t="s">
        <v>14</v>
      </c>
      <c r="C963" t="s">
        <v>3148</v>
      </c>
      <c r="D963" t="s">
        <v>3149</v>
      </c>
      <c r="E963" t="s">
        <v>3150</v>
      </c>
      <c r="F963" t="s">
        <v>3151</v>
      </c>
      <c r="G963" t="s">
        <v>17</v>
      </c>
      <c r="H963" t="s">
        <v>17</v>
      </c>
      <c r="I963" t="s">
        <v>2319</v>
      </c>
      <c r="J963" t="s">
        <v>3456</v>
      </c>
      <c r="K963" t="s">
        <v>3613</v>
      </c>
      <c r="L963" t="s">
        <v>3614</v>
      </c>
      <c r="M963" t="s">
        <v>3615</v>
      </c>
      <c r="N963" t="s">
        <v>394</v>
      </c>
    </row>
    <row r="964" spans="1:14" ht="11.25" customHeight="1">
      <c r="A964" t="s">
        <v>2191</v>
      </c>
      <c r="B964" t="s">
        <v>14</v>
      </c>
      <c r="C964" t="s">
        <v>3148</v>
      </c>
      <c r="D964" t="s">
        <v>3149</v>
      </c>
      <c r="E964" t="s">
        <v>3150</v>
      </c>
      <c r="F964" t="s">
        <v>3151</v>
      </c>
      <c r="G964" t="s">
        <v>17</v>
      </c>
      <c r="H964" t="s">
        <v>17</v>
      </c>
      <c r="I964" t="s">
        <v>3152</v>
      </c>
      <c r="J964" t="s">
        <v>17</v>
      </c>
      <c r="K964" t="s">
        <v>3613</v>
      </c>
      <c r="L964" t="s">
        <v>3614</v>
      </c>
      <c r="M964" t="s">
        <v>3615</v>
      </c>
      <c r="N964" t="s">
        <v>394</v>
      </c>
    </row>
    <row r="965" spans="1:14" ht="11.25" customHeight="1">
      <c r="A965" t="s">
        <v>2191</v>
      </c>
      <c r="B965" t="s">
        <v>14</v>
      </c>
      <c r="C965" t="s">
        <v>3148</v>
      </c>
      <c r="D965" t="s">
        <v>3149</v>
      </c>
      <c r="E965" t="s">
        <v>3150</v>
      </c>
      <c r="F965" t="s">
        <v>3151</v>
      </c>
      <c r="G965" t="s">
        <v>17</v>
      </c>
      <c r="H965" t="s">
        <v>17</v>
      </c>
      <c r="I965" t="s">
        <v>2319</v>
      </c>
      <c r="J965" t="s">
        <v>17</v>
      </c>
      <c r="K965" t="s">
        <v>3613</v>
      </c>
      <c r="L965" t="s">
        <v>3614</v>
      </c>
      <c r="M965" t="s">
        <v>3615</v>
      </c>
      <c r="N965" t="s">
        <v>394</v>
      </c>
    </row>
    <row r="966" spans="1:14" ht="11.25" customHeight="1">
      <c r="A966" t="s">
        <v>2191</v>
      </c>
      <c r="B966" t="s">
        <v>14</v>
      </c>
      <c r="C966" t="s">
        <v>3153</v>
      </c>
      <c r="D966" t="s">
        <v>3154</v>
      </c>
      <c r="E966" t="s">
        <v>3155</v>
      </c>
      <c r="F966" t="s">
        <v>2345</v>
      </c>
      <c r="G966" t="s">
        <v>17</v>
      </c>
      <c r="H966" t="s">
        <v>17</v>
      </c>
      <c r="I966" t="s">
        <v>3156</v>
      </c>
      <c r="J966" t="s">
        <v>17</v>
      </c>
      <c r="K966" t="s">
        <v>3613</v>
      </c>
      <c r="L966" t="s">
        <v>3614</v>
      </c>
      <c r="M966" t="s">
        <v>3615</v>
      </c>
      <c r="N966" t="s">
        <v>394</v>
      </c>
    </row>
    <row r="967" spans="1:14" ht="11.25" customHeight="1">
      <c r="A967" t="s">
        <v>2191</v>
      </c>
      <c r="B967" t="s">
        <v>14</v>
      </c>
      <c r="C967" t="s">
        <v>3162</v>
      </c>
      <c r="D967" t="s">
        <v>3163</v>
      </c>
      <c r="E967" t="s">
        <v>3164</v>
      </c>
      <c r="F967" t="s">
        <v>2248</v>
      </c>
      <c r="G967" t="s">
        <v>17</v>
      </c>
      <c r="H967" t="s">
        <v>17</v>
      </c>
      <c r="I967" t="s">
        <v>2235</v>
      </c>
      <c r="J967" t="s">
        <v>17</v>
      </c>
      <c r="K967" t="s">
        <v>3638</v>
      </c>
      <c r="L967" t="s">
        <v>3659</v>
      </c>
      <c r="M967" t="s">
        <v>3660</v>
      </c>
      <c r="N967" t="s">
        <v>394</v>
      </c>
    </row>
    <row r="968" spans="1:14" ht="11.25" customHeight="1">
      <c r="A968" t="s">
        <v>2191</v>
      </c>
      <c r="B968" t="s">
        <v>14</v>
      </c>
      <c r="C968" t="s">
        <v>3701</v>
      </c>
      <c r="D968" t="s">
        <v>3702</v>
      </c>
      <c r="E968" t="s">
        <v>3703</v>
      </c>
      <c r="F968" t="s">
        <v>2374</v>
      </c>
      <c r="G968" t="s">
        <v>17</v>
      </c>
      <c r="H968" t="s">
        <v>17</v>
      </c>
      <c r="I968" t="s">
        <v>3704</v>
      </c>
      <c r="J968" t="s">
        <v>17</v>
      </c>
      <c r="K968" t="s">
        <v>3635</v>
      </c>
      <c r="L968" t="s">
        <v>3636</v>
      </c>
      <c r="M968" t="s">
        <v>3637</v>
      </c>
      <c r="N968" t="s">
        <v>394</v>
      </c>
    </row>
    <row r="969" spans="1:14" ht="11.25" customHeight="1">
      <c r="A969" t="s">
        <v>2191</v>
      </c>
      <c r="B969" t="s">
        <v>14</v>
      </c>
      <c r="C969" t="s">
        <v>3184</v>
      </c>
      <c r="D969" t="s">
        <v>3185</v>
      </c>
      <c r="E969" t="s">
        <v>3186</v>
      </c>
      <c r="F969" t="s">
        <v>2451</v>
      </c>
      <c r="G969" t="s">
        <v>3187</v>
      </c>
      <c r="H969" t="s">
        <v>17</v>
      </c>
      <c r="I969" t="s">
        <v>2319</v>
      </c>
      <c r="J969" t="s">
        <v>17</v>
      </c>
      <c r="K969" t="s">
        <v>3613</v>
      </c>
      <c r="L969" t="s">
        <v>3614</v>
      </c>
      <c r="M969" t="s">
        <v>3615</v>
      </c>
      <c r="N969" t="s">
        <v>394</v>
      </c>
    </row>
    <row r="970" spans="1:14" ht="11.25" customHeight="1">
      <c r="A970" t="s">
        <v>2191</v>
      </c>
      <c r="B970" t="s">
        <v>14</v>
      </c>
      <c r="C970" t="s">
        <v>3705</v>
      </c>
      <c r="D970" t="s">
        <v>3706</v>
      </c>
      <c r="E970" t="s">
        <v>3707</v>
      </c>
      <c r="F970" t="s">
        <v>2244</v>
      </c>
      <c r="G970" t="s">
        <v>17</v>
      </c>
      <c r="H970" t="s">
        <v>17</v>
      </c>
      <c r="I970" t="s">
        <v>3708</v>
      </c>
      <c r="J970" t="s">
        <v>17</v>
      </c>
      <c r="K970" t="s">
        <v>3613</v>
      </c>
      <c r="L970" t="s">
        <v>3614</v>
      </c>
      <c r="M970" t="s">
        <v>3615</v>
      </c>
      <c r="N970" t="s">
        <v>394</v>
      </c>
    </row>
    <row r="971" spans="1:14" ht="11.25" customHeight="1">
      <c r="A971" t="s">
        <v>2191</v>
      </c>
      <c r="B971" t="s">
        <v>14</v>
      </c>
      <c r="C971" t="s">
        <v>3709</v>
      </c>
      <c r="D971" t="s">
        <v>3710</v>
      </c>
      <c r="E971" t="s">
        <v>3711</v>
      </c>
      <c r="F971" t="s">
        <v>2211</v>
      </c>
      <c r="G971" t="s">
        <v>17</v>
      </c>
      <c r="H971" t="s">
        <v>17</v>
      </c>
      <c r="I971" t="s">
        <v>2561</v>
      </c>
      <c r="J971" t="s">
        <v>17</v>
      </c>
      <c r="K971" t="s">
        <v>285</v>
      </c>
      <c r="L971" t="s">
        <v>285</v>
      </c>
      <c r="M971" t="s">
        <v>3712</v>
      </c>
      <c r="N971" t="s">
        <v>396</v>
      </c>
    </row>
    <row r="972" spans="1:14" ht="11.25" customHeight="1">
      <c r="A972" t="s">
        <v>2191</v>
      </c>
      <c r="B972" t="s">
        <v>14</v>
      </c>
      <c r="C972" t="s">
        <v>3709</v>
      </c>
      <c r="D972" t="s">
        <v>3710</v>
      </c>
      <c r="E972" t="s">
        <v>3711</v>
      </c>
      <c r="F972" t="s">
        <v>2211</v>
      </c>
      <c r="G972" t="s">
        <v>17</v>
      </c>
      <c r="H972" t="s">
        <v>17</v>
      </c>
      <c r="I972" t="s">
        <v>2486</v>
      </c>
      <c r="J972" t="s">
        <v>17</v>
      </c>
      <c r="K972" t="s">
        <v>285</v>
      </c>
      <c r="L972" t="s">
        <v>285</v>
      </c>
      <c r="M972" t="s">
        <v>3712</v>
      </c>
      <c r="N972" t="s">
        <v>396</v>
      </c>
    </row>
    <row r="973" spans="1:14" ht="11.25" customHeight="1">
      <c r="A973" t="s">
        <v>2191</v>
      </c>
      <c r="B973" t="s">
        <v>14</v>
      </c>
      <c r="C973" t="s">
        <v>3709</v>
      </c>
      <c r="D973" t="s">
        <v>3710</v>
      </c>
      <c r="E973" t="s">
        <v>3711</v>
      </c>
      <c r="F973" t="s">
        <v>2211</v>
      </c>
      <c r="G973" t="s">
        <v>17</v>
      </c>
      <c r="H973" t="s">
        <v>17</v>
      </c>
      <c r="I973" t="s">
        <v>2235</v>
      </c>
      <c r="J973" t="s">
        <v>17</v>
      </c>
      <c r="K973" t="s">
        <v>285</v>
      </c>
      <c r="L973" t="s">
        <v>285</v>
      </c>
      <c r="M973" t="s">
        <v>3712</v>
      </c>
      <c r="N973" t="s">
        <v>396</v>
      </c>
    </row>
    <row r="974" spans="1:14" ht="11.25" customHeight="1">
      <c r="A974" t="s">
        <v>2191</v>
      </c>
      <c r="B974" t="s">
        <v>14</v>
      </c>
      <c r="C974" t="s">
        <v>3709</v>
      </c>
      <c r="D974" t="s">
        <v>3710</v>
      </c>
      <c r="E974" t="s">
        <v>3711</v>
      </c>
      <c r="F974" t="s">
        <v>2211</v>
      </c>
      <c r="G974" t="s">
        <v>17</v>
      </c>
      <c r="H974" t="s">
        <v>17</v>
      </c>
      <c r="I974" t="s">
        <v>2319</v>
      </c>
      <c r="J974" t="s">
        <v>17</v>
      </c>
      <c r="K974" t="s">
        <v>1062</v>
      </c>
      <c r="L974" t="s">
        <v>3713</v>
      </c>
      <c r="M974" t="s">
        <v>3714</v>
      </c>
      <c r="N974" t="s">
        <v>396</v>
      </c>
    </row>
    <row r="975" spans="1:14" ht="11.25" customHeight="1">
      <c r="A975" t="s">
        <v>2191</v>
      </c>
      <c r="B975" t="s">
        <v>14</v>
      </c>
      <c r="C975" t="s">
        <v>3709</v>
      </c>
      <c r="D975" t="s">
        <v>3710</v>
      </c>
      <c r="E975" t="s">
        <v>3711</v>
      </c>
      <c r="F975" t="s">
        <v>2211</v>
      </c>
      <c r="G975" t="s">
        <v>17</v>
      </c>
      <c r="H975" t="s">
        <v>17</v>
      </c>
      <c r="I975" t="s">
        <v>2319</v>
      </c>
      <c r="J975" t="s">
        <v>17</v>
      </c>
      <c r="K975" t="s">
        <v>285</v>
      </c>
      <c r="L975" t="s">
        <v>3713</v>
      </c>
      <c r="M975" t="s">
        <v>3714</v>
      </c>
      <c r="N975" t="s">
        <v>396</v>
      </c>
    </row>
    <row r="976" spans="1:14" ht="11.25" customHeight="1">
      <c r="A976" t="s">
        <v>2191</v>
      </c>
      <c r="B976" t="s">
        <v>14</v>
      </c>
      <c r="C976" t="s">
        <v>3715</v>
      </c>
      <c r="D976" t="s">
        <v>3716</v>
      </c>
      <c r="E976" t="s">
        <v>3717</v>
      </c>
      <c r="F976" t="s">
        <v>2756</v>
      </c>
      <c r="G976" t="s">
        <v>17</v>
      </c>
      <c r="H976" t="s">
        <v>17</v>
      </c>
      <c r="I976" t="s">
        <v>2319</v>
      </c>
      <c r="J976" t="s">
        <v>17</v>
      </c>
      <c r="K976" t="s">
        <v>1062</v>
      </c>
      <c r="L976" t="s">
        <v>1062</v>
      </c>
      <c r="M976" t="s">
        <v>3718</v>
      </c>
      <c r="N976" t="s">
        <v>396</v>
      </c>
    </row>
    <row r="977" spans="1:14" ht="11.25" customHeight="1">
      <c r="A977" t="s">
        <v>2191</v>
      </c>
      <c r="B977" t="s">
        <v>14</v>
      </c>
      <c r="C977" t="s">
        <v>3719</v>
      </c>
      <c r="D977" t="s">
        <v>3720</v>
      </c>
      <c r="E977" t="s">
        <v>3721</v>
      </c>
      <c r="F977" t="s">
        <v>2467</v>
      </c>
      <c r="G977" t="s">
        <v>17</v>
      </c>
      <c r="H977" t="s">
        <v>17</v>
      </c>
      <c r="I977" t="s">
        <v>3722</v>
      </c>
      <c r="J977" t="s">
        <v>17</v>
      </c>
      <c r="K977" t="s">
        <v>1062</v>
      </c>
      <c r="L977" t="s">
        <v>1062</v>
      </c>
      <c r="M977" t="s">
        <v>3718</v>
      </c>
      <c r="N977" t="s">
        <v>396</v>
      </c>
    </row>
    <row r="978" spans="1:14" ht="11.25" customHeight="1">
      <c r="A978" t="s">
        <v>2191</v>
      </c>
      <c r="B978" t="s">
        <v>14</v>
      </c>
      <c r="C978" t="s">
        <v>3719</v>
      </c>
      <c r="D978" t="s">
        <v>3720</v>
      </c>
      <c r="E978" t="s">
        <v>3721</v>
      </c>
      <c r="F978" t="s">
        <v>2467</v>
      </c>
      <c r="G978" t="s">
        <v>17</v>
      </c>
      <c r="H978" t="s">
        <v>17</v>
      </c>
      <c r="I978" t="s">
        <v>3722</v>
      </c>
      <c r="J978" t="s">
        <v>17</v>
      </c>
      <c r="K978" t="s">
        <v>1062</v>
      </c>
      <c r="L978" t="s">
        <v>3723</v>
      </c>
      <c r="M978" t="s">
        <v>3724</v>
      </c>
      <c r="N978" t="s">
        <v>396</v>
      </c>
    </row>
    <row r="979" spans="1:14" ht="11.25" customHeight="1">
      <c r="A979" t="s">
        <v>2191</v>
      </c>
      <c r="B979" t="s">
        <v>14</v>
      </c>
      <c r="C979" t="s">
        <v>3719</v>
      </c>
      <c r="D979" t="s">
        <v>3720</v>
      </c>
      <c r="E979" t="s">
        <v>3721</v>
      </c>
      <c r="F979" t="s">
        <v>2467</v>
      </c>
      <c r="G979" t="s">
        <v>17</v>
      </c>
      <c r="H979" t="s">
        <v>17</v>
      </c>
      <c r="I979" t="s">
        <v>3722</v>
      </c>
      <c r="J979" t="s">
        <v>17</v>
      </c>
      <c r="K979" t="s">
        <v>1081</v>
      </c>
      <c r="L979" t="s">
        <v>3723</v>
      </c>
      <c r="M979" t="s">
        <v>3724</v>
      </c>
      <c r="N979" t="s">
        <v>396</v>
      </c>
    </row>
    <row r="980" spans="1:14" ht="11.25" customHeight="1">
      <c r="A980" t="s">
        <v>2191</v>
      </c>
      <c r="B980" t="s">
        <v>14</v>
      </c>
      <c r="C980" t="s">
        <v>3719</v>
      </c>
      <c r="D980" t="s">
        <v>3720</v>
      </c>
      <c r="E980" t="s">
        <v>3721</v>
      </c>
      <c r="F980" t="s">
        <v>2467</v>
      </c>
      <c r="G980" t="s">
        <v>17</v>
      </c>
      <c r="H980" t="s">
        <v>17</v>
      </c>
      <c r="I980" t="s">
        <v>2319</v>
      </c>
      <c r="J980" t="s">
        <v>17</v>
      </c>
      <c r="K980" t="s">
        <v>1062</v>
      </c>
      <c r="L980" t="s">
        <v>1062</v>
      </c>
      <c r="M980" t="s">
        <v>3718</v>
      </c>
      <c r="N980" t="s">
        <v>396</v>
      </c>
    </row>
    <row r="981" spans="1:14" ht="11.25" customHeight="1">
      <c r="A981" t="s">
        <v>2191</v>
      </c>
      <c r="B981" t="s">
        <v>14</v>
      </c>
      <c r="C981" t="s">
        <v>3725</v>
      </c>
      <c r="D981" t="s">
        <v>3726</v>
      </c>
      <c r="E981" t="s">
        <v>3727</v>
      </c>
      <c r="F981" t="s">
        <v>3728</v>
      </c>
      <c r="G981" t="s">
        <v>3729</v>
      </c>
      <c r="H981" t="s">
        <v>17</v>
      </c>
      <c r="I981" t="s">
        <v>2561</v>
      </c>
      <c r="J981" t="s">
        <v>17</v>
      </c>
      <c r="K981" t="s">
        <v>285</v>
      </c>
      <c r="L981" t="s">
        <v>285</v>
      </c>
      <c r="M981" t="s">
        <v>3712</v>
      </c>
      <c r="N981" t="s">
        <v>396</v>
      </c>
    </row>
    <row r="982" spans="1:14" ht="11.25" customHeight="1">
      <c r="A982" t="s">
        <v>2191</v>
      </c>
      <c r="B982" t="s">
        <v>14</v>
      </c>
      <c r="C982" t="s">
        <v>3725</v>
      </c>
      <c r="D982" t="s">
        <v>3726</v>
      </c>
      <c r="E982" t="s">
        <v>3727</v>
      </c>
      <c r="F982" t="s">
        <v>3728</v>
      </c>
      <c r="G982" t="s">
        <v>3729</v>
      </c>
      <c r="H982" t="s">
        <v>17</v>
      </c>
      <c r="I982" t="s">
        <v>2486</v>
      </c>
      <c r="J982" t="s">
        <v>17</v>
      </c>
      <c r="K982" t="s">
        <v>285</v>
      </c>
      <c r="L982" t="s">
        <v>285</v>
      </c>
      <c r="M982" t="s">
        <v>3712</v>
      </c>
      <c r="N982" t="s">
        <v>396</v>
      </c>
    </row>
    <row r="983" spans="1:14" ht="11.25" customHeight="1">
      <c r="A983" t="s">
        <v>2191</v>
      </c>
      <c r="B983" t="s">
        <v>14</v>
      </c>
      <c r="C983" t="s">
        <v>3725</v>
      </c>
      <c r="D983" t="s">
        <v>3726</v>
      </c>
      <c r="E983" t="s">
        <v>3727</v>
      </c>
      <c r="F983" t="s">
        <v>3728</v>
      </c>
      <c r="G983" t="s">
        <v>3729</v>
      </c>
      <c r="H983" t="s">
        <v>17</v>
      </c>
      <c r="I983" t="s">
        <v>2319</v>
      </c>
      <c r="J983" t="s">
        <v>17</v>
      </c>
      <c r="K983" t="s">
        <v>285</v>
      </c>
      <c r="L983" t="s">
        <v>285</v>
      </c>
      <c r="M983" t="s">
        <v>3712</v>
      </c>
      <c r="N983" t="s">
        <v>396</v>
      </c>
    </row>
    <row r="984" spans="1:14" ht="11.25" customHeight="1">
      <c r="A984" t="s">
        <v>2191</v>
      </c>
      <c r="B984" t="s">
        <v>14</v>
      </c>
      <c r="C984" t="s">
        <v>3730</v>
      </c>
      <c r="D984" t="s">
        <v>3731</v>
      </c>
      <c r="E984" t="s">
        <v>3732</v>
      </c>
      <c r="F984" t="s">
        <v>2195</v>
      </c>
      <c r="G984" t="s">
        <v>17</v>
      </c>
      <c r="H984" t="s">
        <v>17</v>
      </c>
      <c r="I984" t="s">
        <v>3733</v>
      </c>
      <c r="J984" t="s">
        <v>17</v>
      </c>
      <c r="K984" t="s">
        <v>3734</v>
      </c>
      <c r="L984" t="s">
        <v>3734</v>
      </c>
      <c r="M984" t="s">
        <v>3735</v>
      </c>
      <c r="N984" t="s">
        <v>396</v>
      </c>
    </row>
    <row r="985" spans="1:14" ht="11.25" customHeight="1">
      <c r="A985" t="s">
        <v>2191</v>
      </c>
      <c r="B985" t="s">
        <v>14</v>
      </c>
      <c r="C985" t="s">
        <v>3736</v>
      </c>
      <c r="D985" t="s">
        <v>3737</v>
      </c>
      <c r="E985" t="s">
        <v>3738</v>
      </c>
      <c r="F985" t="s">
        <v>2467</v>
      </c>
      <c r="G985" t="s">
        <v>17</v>
      </c>
      <c r="H985" t="s">
        <v>17</v>
      </c>
      <c r="I985" t="s">
        <v>2561</v>
      </c>
      <c r="J985" t="s">
        <v>17</v>
      </c>
      <c r="K985" t="s">
        <v>285</v>
      </c>
      <c r="L985" t="s">
        <v>285</v>
      </c>
      <c r="M985" t="s">
        <v>3712</v>
      </c>
      <c r="N985" t="s">
        <v>396</v>
      </c>
    </row>
    <row r="986" spans="1:14" ht="11.25" customHeight="1">
      <c r="A986" t="s">
        <v>2191</v>
      </c>
      <c r="B986" t="s">
        <v>14</v>
      </c>
      <c r="C986" t="s">
        <v>3736</v>
      </c>
      <c r="D986" t="s">
        <v>3737</v>
      </c>
      <c r="E986" t="s">
        <v>3738</v>
      </c>
      <c r="F986" t="s">
        <v>2467</v>
      </c>
      <c r="G986" t="s">
        <v>17</v>
      </c>
      <c r="H986" t="s">
        <v>17</v>
      </c>
      <c r="I986" t="s">
        <v>2319</v>
      </c>
      <c r="J986" t="s">
        <v>17</v>
      </c>
      <c r="K986" t="s">
        <v>285</v>
      </c>
      <c r="L986" t="s">
        <v>285</v>
      </c>
      <c r="M986" t="s">
        <v>3712</v>
      </c>
      <c r="N986" t="s">
        <v>396</v>
      </c>
    </row>
    <row r="987" spans="1:14" ht="11.25" customHeight="1">
      <c r="A987" t="s">
        <v>2191</v>
      </c>
      <c r="B987" t="s">
        <v>14</v>
      </c>
      <c r="C987" t="s">
        <v>3739</v>
      </c>
      <c r="D987" t="s">
        <v>3740</v>
      </c>
      <c r="E987" t="s">
        <v>3741</v>
      </c>
      <c r="F987" t="s">
        <v>2211</v>
      </c>
      <c r="G987" t="s">
        <v>17</v>
      </c>
      <c r="H987" t="s">
        <v>17</v>
      </c>
      <c r="I987" t="s">
        <v>2669</v>
      </c>
      <c r="J987" t="s">
        <v>17</v>
      </c>
      <c r="K987" t="s">
        <v>1062</v>
      </c>
      <c r="L987" t="s">
        <v>1062</v>
      </c>
      <c r="M987" t="s">
        <v>3718</v>
      </c>
      <c r="N987" t="s">
        <v>396</v>
      </c>
    </row>
    <row r="988" spans="1:14" ht="11.25" customHeight="1">
      <c r="A988" t="s">
        <v>2191</v>
      </c>
      <c r="B988" t="s">
        <v>14</v>
      </c>
      <c r="C988" t="s">
        <v>3742</v>
      </c>
      <c r="D988" t="s">
        <v>3743</v>
      </c>
      <c r="E988" t="s">
        <v>3741</v>
      </c>
      <c r="F988" t="s">
        <v>3744</v>
      </c>
      <c r="G988" t="s">
        <v>17</v>
      </c>
      <c r="H988" t="s">
        <v>17</v>
      </c>
      <c r="I988" t="s">
        <v>2315</v>
      </c>
      <c r="J988" t="s">
        <v>17</v>
      </c>
      <c r="K988" t="s">
        <v>285</v>
      </c>
      <c r="L988" t="s">
        <v>285</v>
      </c>
      <c r="M988" t="s">
        <v>3712</v>
      </c>
      <c r="N988" t="s">
        <v>396</v>
      </c>
    </row>
    <row r="989" spans="1:14" ht="11.25" customHeight="1">
      <c r="A989" t="s">
        <v>2191</v>
      </c>
      <c r="B989" t="s">
        <v>14</v>
      </c>
      <c r="C989" t="s">
        <v>3745</v>
      </c>
      <c r="D989" t="s">
        <v>3746</v>
      </c>
      <c r="E989" t="s">
        <v>3747</v>
      </c>
      <c r="F989" t="s">
        <v>2739</v>
      </c>
      <c r="G989" t="s">
        <v>17</v>
      </c>
      <c r="H989" t="s">
        <v>17</v>
      </c>
      <c r="I989" t="s">
        <v>2319</v>
      </c>
      <c r="J989" t="s">
        <v>17</v>
      </c>
      <c r="K989" t="s">
        <v>1062</v>
      </c>
      <c r="L989" t="s">
        <v>3748</v>
      </c>
      <c r="M989" t="s">
        <v>3749</v>
      </c>
      <c r="N989" t="s">
        <v>396</v>
      </c>
    </row>
    <row r="990" spans="1:14" ht="11.25" customHeight="1">
      <c r="A990" t="s">
        <v>2191</v>
      </c>
      <c r="B990" t="s">
        <v>14</v>
      </c>
      <c r="C990" t="s">
        <v>3745</v>
      </c>
      <c r="D990" t="s">
        <v>3746</v>
      </c>
      <c r="E990" t="s">
        <v>3747</v>
      </c>
      <c r="F990" t="s">
        <v>2739</v>
      </c>
      <c r="G990" t="s">
        <v>17</v>
      </c>
      <c r="H990" t="s">
        <v>17</v>
      </c>
      <c r="I990" t="s">
        <v>2319</v>
      </c>
      <c r="J990" t="s">
        <v>17</v>
      </c>
      <c r="K990" t="s">
        <v>1081</v>
      </c>
      <c r="L990" t="s">
        <v>3748</v>
      </c>
      <c r="M990" t="s">
        <v>3749</v>
      </c>
      <c r="N990" t="s">
        <v>396</v>
      </c>
    </row>
    <row r="991" spans="1:14" ht="11.25" customHeight="1">
      <c r="A991" t="s">
        <v>2191</v>
      </c>
      <c r="B991" t="s">
        <v>14</v>
      </c>
      <c r="C991" t="s">
        <v>3745</v>
      </c>
      <c r="D991" t="s">
        <v>3746</v>
      </c>
      <c r="E991" t="s">
        <v>3747</v>
      </c>
      <c r="F991" t="s">
        <v>2739</v>
      </c>
      <c r="G991" t="s">
        <v>17</v>
      </c>
      <c r="H991" t="s">
        <v>17</v>
      </c>
      <c r="I991" t="s">
        <v>2319</v>
      </c>
      <c r="J991" t="s">
        <v>17</v>
      </c>
      <c r="K991" t="s">
        <v>285</v>
      </c>
      <c r="L991" t="s">
        <v>3748</v>
      </c>
      <c r="M991" t="s">
        <v>3749</v>
      </c>
      <c r="N991" t="s">
        <v>396</v>
      </c>
    </row>
    <row r="992" spans="1:14" ht="11.25" customHeight="1">
      <c r="A992" t="s">
        <v>2191</v>
      </c>
      <c r="B992" t="s">
        <v>14</v>
      </c>
      <c r="C992" t="s">
        <v>3750</v>
      </c>
      <c r="D992" t="s">
        <v>3751</v>
      </c>
      <c r="E992" t="s">
        <v>3752</v>
      </c>
      <c r="F992" t="s">
        <v>2467</v>
      </c>
      <c r="G992" t="s">
        <v>17</v>
      </c>
      <c r="H992" t="s">
        <v>17</v>
      </c>
      <c r="I992" t="s">
        <v>3753</v>
      </c>
      <c r="J992" t="s">
        <v>17</v>
      </c>
      <c r="K992" t="s">
        <v>3734</v>
      </c>
      <c r="L992" t="s">
        <v>3734</v>
      </c>
      <c r="M992" t="s">
        <v>3735</v>
      </c>
      <c r="N992" t="s">
        <v>396</v>
      </c>
    </row>
    <row r="993" spans="1:14" ht="11.25" customHeight="1">
      <c r="A993" t="s">
        <v>2191</v>
      </c>
      <c r="B993" t="s">
        <v>14</v>
      </c>
      <c r="C993" t="s">
        <v>3754</v>
      </c>
      <c r="D993" t="s">
        <v>3755</v>
      </c>
      <c r="E993" t="s">
        <v>3756</v>
      </c>
      <c r="F993" t="s">
        <v>2467</v>
      </c>
      <c r="G993" t="s">
        <v>17</v>
      </c>
      <c r="H993" t="s">
        <v>17</v>
      </c>
      <c r="I993" t="s">
        <v>2319</v>
      </c>
      <c r="J993" t="s">
        <v>17</v>
      </c>
      <c r="K993" t="s">
        <v>285</v>
      </c>
      <c r="L993" t="s">
        <v>285</v>
      </c>
      <c r="M993" t="s">
        <v>3712</v>
      </c>
      <c r="N993" t="s">
        <v>396</v>
      </c>
    </row>
    <row r="994" spans="1:14" ht="11.25" customHeight="1">
      <c r="A994" t="s">
        <v>2191</v>
      </c>
      <c r="B994" t="s">
        <v>14</v>
      </c>
      <c r="C994" t="s">
        <v>3757</v>
      </c>
      <c r="D994" t="s">
        <v>3758</v>
      </c>
      <c r="E994" t="s">
        <v>3759</v>
      </c>
      <c r="F994" t="s">
        <v>2291</v>
      </c>
      <c r="G994" t="s">
        <v>17</v>
      </c>
      <c r="H994" t="s">
        <v>17</v>
      </c>
      <c r="I994" t="s">
        <v>3753</v>
      </c>
      <c r="J994" t="s">
        <v>17</v>
      </c>
      <c r="K994" t="s">
        <v>3734</v>
      </c>
      <c r="L994" t="s">
        <v>3734</v>
      </c>
      <c r="M994" t="s">
        <v>3735</v>
      </c>
      <c r="N994" t="s">
        <v>396</v>
      </c>
    </row>
    <row r="995" spans="1:14" ht="11.25" customHeight="1">
      <c r="A995" t="s">
        <v>2191</v>
      </c>
      <c r="B995" t="s">
        <v>14</v>
      </c>
      <c r="C995" t="s">
        <v>3760</v>
      </c>
      <c r="D995" t="s">
        <v>3761</v>
      </c>
      <c r="E995" t="s">
        <v>3762</v>
      </c>
      <c r="F995" t="s">
        <v>2291</v>
      </c>
      <c r="G995" t="s">
        <v>17</v>
      </c>
      <c r="H995" t="s">
        <v>17</v>
      </c>
      <c r="I995" t="s">
        <v>3753</v>
      </c>
      <c r="J995" t="s">
        <v>17</v>
      </c>
      <c r="K995" t="s">
        <v>3734</v>
      </c>
      <c r="L995" t="s">
        <v>3734</v>
      </c>
      <c r="M995" t="s">
        <v>3735</v>
      </c>
      <c r="N995" t="s">
        <v>396</v>
      </c>
    </row>
    <row r="996" spans="1:14" ht="11.25" customHeight="1">
      <c r="A996" t="s">
        <v>2191</v>
      </c>
      <c r="B996" t="s">
        <v>14</v>
      </c>
      <c r="C996" t="s">
        <v>3763</v>
      </c>
      <c r="D996" t="s">
        <v>3764</v>
      </c>
      <c r="E996" t="s">
        <v>3765</v>
      </c>
      <c r="F996" t="s">
        <v>2211</v>
      </c>
      <c r="G996" t="s">
        <v>17</v>
      </c>
      <c r="H996" t="s">
        <v>17</v>
      </c>
      <c r="I996" t="s">
        <v>3766</v>
      </c>
      <c r="J996" t="s">
        <v>17</v>
      </c>
      <c r="K996" t="s">
        <v>285</v>
      </c>
      <c r="L996" t="s">
        <v>285</v>
      </c>
      <c r="M996" t="s">
        <v>3712</v>
      </c>
      <c r="N996" t="s">
        <v>396</v>
      </c>
    </row>
    <row r="997" spans="1:14" ht="11.25" customHeight="1">
      <c r="A997" t="s">
        <v>2191</v>
      </c>
      <c r="B997" t="s">
        <v>14</v>
      </c>
      <c r="C997" t="s">
        <v>3767</v>
      </c>
      <c r="D997" t="s">
        <v>3768</v>
      </c>
      <c r="E997" t="s">
        <v>3769</v>
      </c>
      <c r="F997" t="s">
        <v>2262</v>
      </c>
      <c r="G997" t="s">
        <v>3770</v>
      </c>
      <c r="H997" t="s">
        <v>17</v>
      </c>
      <c r="I997" t="s">
        <v>2561</v>
      </c>
      <c r="J997" t="s">
        <v>17</v>
      </c>
      <c r="K997" t="s">
        <v>285</v>
      </c>
      <c r="L997" t="s">
        <v>285</v>
      </c>
      <c r="M997" t="s">
        <v>3712</v>
      </c>
      <c r="N997" t="s">
        <v>396</v>
      </c>
    </row>
    <row r="998" spans="1:14" ht="11.25" customHeight="1">
      <c r="A998" t="s">
        <v>2191</v>
      </c>
      <c r="B998" t="s">
        <v>14</v>
      </c>
      <c r="C998" t="s">
        <v>3767</v>
      </c>
      <c r="D998" t="s">
        <v>3768</v>
      </c>
      <c r="E998" t="s">
        <v>3769</v>
      </c>
      <c r="F998" t="s">
        <v>2262</v>
      </c>
      <c r="G998" t="s">
        <v>3770</v>
      </c>
      <c r="H998" t="s">
        <v>17</v>
      </c>
      <c r="I998" t="s">
        <v>2319</v>
      </c>
      <c r="J998" t="s">
        <v>17</v>
      </c>
      <c r="K998" t="s">
        <v>285</v>
      </c>
      <c r="L998" t="s">
        <v>285</v>
      </c>
      <c r="M998" t="s">
        <v>3712</v>
      </c>
      <c r="N998" t="s">
        <v>396</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A61B9E-6706-01FA-E538-1A3036363748}">
  <sheetPr>
    <tabColor rgb="FFFFCC99"/>
  </sheetPr>
  <dimension ref="A1:G452"/>
  <sheetViews>
    <sheetView showGridLines="0" workbookViewId="0"/>
  </sheetViews>
  <sheetFormatPr defaultRowHeight="11.25" customHeight="1"/>
  <sheetData>
    <row r="1" spans="1:7" ht="11.25" customHeight="1">
      <c r="A1" t="s">
        <v>3771</v>
      </c>
      <c r="B1" t="s">
        <v>3772</v>
      </c>
      <c r="C1" t="s">
        <v>3773</v>
      </c>
      <c r="D1" t="s">
        <v>3774</v>
      </c>
      <c r="E1" t="s">
        <v>3775</v>
      </c>
      <c r="F1" t="s">
        <v>3776</v>
      </c>
      <c r="G1" t="s">
        <v>3777</v>
      </c>
    </row>
    <row r="2" spans="1:7" ht="11.25" customHeight="1">
      <c r="A2" t="s">
        <v>14</v>
      </c>
      <c r="B2" t="s">
        <v>3778</v>
      </c>
      <c r="C2" t="s">
        <v>3779</v>
      </c>
      <c r="D2" t="s">
        <v>3778</v>
      </c>
      <c r="E2" t="s">
        <v>3779</v>
      </c>
      <c r="F2" t="s">
        <v>3780</v>
      </c>
      <c r="G2" t="s">
        <v>109</v>
      </c>
    </row>
    <row r="3" spans="1:7" ht="11.25" customHeight="1">
      <c r="A3" t="s">
        <v>14</v>
      </c>
      <c r="B3" t="s">
        <v>3781</v>
      </c>
      <c r="C3" t="s">
        <v>3782</v>
      </c>
      <c r="D3" t="s">
        <v>3781</v>
      </c>
      <c r="E3" t="s">
        <v>3782</v>
      </c>
      <c r="F3" t="s">
        <v>3783</v>
      </c>
      <c r="G3" t="s">
        <v>110</v>
      </c>
    </row>
    <row r="4" spans="1:7" ht="11.25" customHeight="1">
      <c r="A4" t="s">
        <v>14</v>
      </c>
      <c r="B4" t="s">
        <v>3781</v>
      </c>
      <c r="C4" t="s">
        <v>3782</v>
      </c>
      <c r="D4" t="s">
        <v>3784</v>
      </c>
      <c r="E4" t="s">
        <v>3785</v>
      </c>
      <c r="F4" t="s">
        <v>3786</v>
      </c>
      <c r="G4" t="s">
        <v>90</v>
      </c>
    </row>
    <row r="5" spans="1:7" ht="11.25" customHeight="1">
      <c r="A5" t="s">
        <v>14</v>
      </c>
      <c r="B5" t="s">
        <v>3781</v>
      </c>
      <c r="C5" t="s">
        <v>3782</v>
      </c>
      <c r="D5" t="s">
        <v>3787</v>
      </c>
      <c r="E5" t="s">
        <v>3788</v>
      </c>
      <c r="F5" t="s">
        <v>3786</v>
      </c>
      <c r="G5" t="s">
        <v>91</v>
      </c>
    </row>
    <row r="6" spans="1:7" ht="11.25" customHeight="1">
      <c r="A6" t="s">
        <v>14</v>
      </c>
      <c r="B6" t="s">
        <v>3781</v>
      </c>
      <c r="C6" t="s">
        <v>3782</v>
      </c>
      <c r="D6" t="s">
        <v>3789</v>
      </c>
      <c r="E6" t="s">
        <v>3790</v>
      </c>
      <c r="F6" t="s">
        <v>3786</v>
      </c>
      <c r="G6" t="s">
        <v>111</v>
      </c>
    </row>
    <row r="7" spans="1:7" ht="11.25" customHeight="1">
      <c r="A7" t="s">
        <v>14</v>
      </c>
      <c r="B7" t="s">
        <v>3781</v>
      </c>
      <c r="C7" t="s">
        <v>3782</v>
      </c>
      <c r="D7" t="s">
        <v>3791</v>
      </c>
      <c r="E7" t="s">
        <v>3792</v>
      </c>
      <c r="F7" t="s">
        <v>3793</v>
      </c>
      <c r="G7" t="s">
        <v>92</v>
      </c>
    </row>
    <row r="8" spans="1:7" ht="11.25" customHeight="1">
      <c r="A8" t="s">
        <v>14</v>
      </c>
      <c r="B8" t="s">
        <v>3781</v>
      </c>
      <c r="C8" t="s">
        <v>3782</v>
      </c>
      <c r="D8" t="s">
        <v>3794</v>
      </c>
      <c r="E8" t="s">
        <v>3795</v>
      </c>
      <c r="F8" t="s">
        <v>3793</v>
      </c>
      <c r="G8" t="s">
        <v>93</v>
      </c>
    </row>
    <row r="9" spans="1:7" ht="11.25" customHeight="1">
      <c r="A9" t="s">
        <v>14</v>
      </c>
      <c r="B9" t="s">
        <v>3781</v>
      </c>
      <c r="C9" t="s">
        <v>3782</v>
      </c>
      <c r="D9" t="s">
        <v>3796</v>
      </c>
      <c r="E9" t="s">
        <v>3797</v>
      </c>
      <c r="F9" t="s">
        <v>3786</v>
      </c>
      <c r="G9" t="s">
        <v>112</v>
      </c>
    </row>
    <row r="10" spans="1:7" ht="11.25" customHeight="1">
      <c r="A10" t="s">
        <v>14</v>
      </c>
      <c r="B10" t="s">
        <v>3781</v>
      </c>
      <c r="C10" t="s">
        <v>3782</v>
      </c>
      <c r="D10" t="s">
        <v>3798</v>
      </c>
      <c r="E10" t="s">
        <v>3799</v>
      </c>
      <c r="F10" t="s">
        <v>3786</v>
      </c>
      <c r="G10" t="s">
        <v>149</v>
      </c>
    </row>
    <row r="11" spans="1:7" ht="11.25" customHeight="1">
      <c r="A11" t="s">
        <v>14</v>
      </c>
      <c r="B11" t="s">
        <v>3781</v>
      </c>
      <c r="C11" t="s">
        <v>3782</v>
      </c>
      <c r="D11" t="s">
        <v>3800</v>
      </c>
      <c r="E11" t="s">
        <v>3801</v>
      </c>
      <c r="F11" t="s">
        <v>3786</v>
      </c>
      <c r="G11" t="s">
        <v>150</v>
      </c>
    </row>
    <row r="12" spans="1:7" ht="11.25" customHeight="1">
      <c r="A12" t="s">
        <v>14</v>
      </c>
      <c r="B12" t="s">
        <v>3781</v>
      </c>
      <c r="C12" t="s">
        <v>3782</v>
      </c>
      <c r="D12" t="s">
        <v>3802</v>
      </c>
      <c r="E12" t="s">
        <v>3803</v>
      </c>
      <c r="F12" t="s">
        <v>3786</v>
      </c>
      <c r="G12" t="s">
        <v>151</v>
      </c>
    </row>
    <row r="13" spans="1:7" ht="11.25" customHeight="1">
      <c r="A13" t="s">
        <v>14</v>
      </c>
      <c r="B13" t="s">
        <v>3804</v>
      </c>
      <c r="C13" t="s">
        <v>3805</v>
      </c>
      <c r="D13" t="s">
        <v>3806</v>
      </c>
      <c r="E13" t="s">
        <v>3807</v>
      </c>
      <c r="F13" t="s">
        <v>3786</v>
      </c>
      <c r="G13" t="s">
        <v>152</v>
      </c>
    </row>
    <row r="14" spans="1:7" ht="11.25" customHeight="1">
      <c r="A14" t="s">
        <v>14</v>
      </c>
      <c r="B14" t="s">
        <v>3804</v>
      </c>
      <c r="C14" t="s">
        <v>3805</v>
      </c>
      <c r="D14" t="s">
        <v>3804</v>
      </c>
      <c r="E14" t="s">
        <v>3805</v>
      </c>
      <c r="F14" t="s">
        <v>3783</v>
      </c>
      <c r="G14" t="s">
        <v>153</v>
      </c>
    </row>
    <row r="15" spans="1:7" ht="11.25" customHeight="1">
      <c r="A15" t="s">
        <v>14</v>
      </c>
      <c r="B15" t="s">
        <v>3804</v>
      </c>
      <c r="C15" t="s">
        <v>3805</v>
      </c>
      <c r="D15" t="s">
        <v>3808</v>
      </c>
      <c r="E15" t="s">
        <v>3809</v>
      </c>
      <c r="F15" t="s">
        <v>3786</v>
      </c>
      <c r="G15" t="s">
        <v>154</v>
      </c>
    </row>
    <row r="16" spans="1:7" ht="11.25" customHeight="1">
      <c r="A16" t="s">
        <v>14</v>
      </c>
      <c r="B16" t="s">
        <v>3804</v>
      </c>
      <c r="C16" t="s">
        <v>3805</v>
      </c>
      <c r="D16" t="s">
        <v>3810</v>
      </c>
      <c r="E16" t="s">
        <v>3811</v>
      </c>
      <c r="F16" t="s">
        <v>3786</v>
      </c>
      <c r="G16" t="s">
        <v>696</v>
      </c>
    </row>
    <row r="17" spans="1:7" ht="11.25" customHeight="1">
      <c r="A17" t="s">
        <v>14</v>
      </c>
      <c r="B17" t="s">
        <v>3804</v>
      </c>
      <c r="C17" t="s">
        <v>3805</v>
      </c>
      <c r="D17" t="s">
        <v>3812</v>
      </c>
      <c r="E17" t="s">
        <v>3813</v>
      </c>
      <c r="F17" t="s">
        <v>3786</v>
      </c>
      <c r="G17" t="s">
        <v>398</v>
      </c>
    </row>
    <row r="18" spans="1:7" ht="11.25" customHeight="1">
      <c r="A18" t="s">
        <v>14</v>
      </c>
      <c r="B18" t="s">
        <v>3804</v>
      </c>
      <c r="C18" t="s">
        <v>3805</v>
      </c>
      <c r="D18" t="s">
        <v>3814</v>
      </c>
      <c r="E18" t="s">
        <v>3815</v>
      </c>
      <c r="F18" t="s">
        <v>3786</v>
      </c>
      <c r="G18" t="s">
        <v>705</v>
      </c>
    </row>
    <row r="19" spans="1:7" ht="11.25" customHeight="1">
      <c r="A19" t="s">
        <v>14</v>
      </c>
      <c r="B19" t="s">
        <v>3804</v>
      </c>
      <c r="C19" t="s">
        <v>3805</v>
      </c>
      <c r="D19" t="s">
        <v>3816</v>
      </c>
      <c r="E19" t="s">
        <v>3817</v>
      </c>
      <c r="F19" t="s">
        <v>3786</v>
      </c>
      <c r="G19" t="s">
        <v>709</v>
      </c>
    </row>
    <row r="20" spans="1:7" ht="11.25" customHeight="1">
      <c r="A20" t="s">
        <v>14</v>
      </c>
      <c r="B20" t="s">
        <v>3804</v>
      </c>
      <c r="C20" t="s">
        <v>3805</v>
      </c>
      <c r="D20" t="s">
        <v>3818</v>
      </c>
      <c r="E20" t="s">
        <v>3819</v>
      </c>
      <c r="F20" t="s">
        <v>3786</v>
      </c>
      <c r="G20" t="s">
        <v>460</v>
      </c>
    </row>
    <row r="21" spans="1:7" ht="11.25" customHeight="1">
      <c r="A21" t="s">
        <v>14</v>
      </c>
      <c r="B21" t="s">
        <v>3804</v>
      </c>
      <c r="C21" t="s">
        <v>3805</v>
      </c>
      <c r="D21" t="s">
        <v>3820</v>
      </c>
      <c r="E21" t="s">
        <v>3821</v>
      </c>
      <c r="F21" t="s">
        <v>3786</v>
      </c>
      <c r="G21" t="s">
        <v>1073</v>
      </c>
    </row>
    <row r="22" spans="1:7" ht="11.25" customHeight="1">
      <c r="A22" t="s">
        <v>14</v>
      </c>
      <c r="B22" t="s">
        <v>3804</v>
      </c>
      <c r="C22" t="s">
        <v>3805</v>
      </c>
      <c r="D22" t="s">
        <v>3822</v>
      </c>
      <c r="E22" t="s">
        <v>3823</v>
      </c>
      <c r="F22" t="s">
        <v>3786</v>
      </c>
      <c r="G22" t="s">
        <v>1088</v>
      </c>
    </row>
    <row r="23" spans="1:7" ht="11.25" customHeight="1">
      <c r="A23" t="s">
        <v>14</v>
      </c>
      <c r="B23" t="s">
        <v>3804</v>
      </c>
      <c r="C23" t="s">
        <v>3805</v>
      </c>
      <c r="D23" t="s">
        <v>3824</v>
      </c>
      <c r="E23" t="s">
        <v>3825</v>
      </c>
      <c r="F23" t="s">
        <v>3793</v>
      </c>
      <c r="G23" t="s">
        <v>1094</v>
      </c>
    </row>
    <row r="24" spans="1:7" ht="11.25" customHeight="1">
      <c r="A24" t="s">
        <v>14</v>
      </c>
      <c r="B24" t="s">
        <v>3804</v>
      </c>
      <c r="C24" t="s">
        <v>3805</v>
      </c>
      <c r="D24" t="s">
        <v>3826</v>
      </c>
      <c r="E24" t="s">
        <v>3827</v>
      </c>
      <c r="F24" t="s">
        <v>3786</v>
      </c>
      <c r="G24" t="s">
        <v>1100</v>
      </c>
    </row>
    <row r="25" spans="1:7" ht="11.25" customHeight="1">
      <c r="A25" t="s">
        <v>14</v>
      </c>
      <c r="B25" t="s">
        <v>3804</v>
      </c>
      <c r="C25" t="s">
        <v>3805</v>
      </c>
      <c r="D25" t="s">
        <v>3828</v>
      </c>
      <c r="E25" t="s">
        <v>3829</v>
      </c>
      <c r="F25" t="s">
        <v>3786</v>
      </c>
      <c r="G25" t="s">
        <v>473</v>
      </c>
    </row>
    <row r="26" spans="1:7" ht="11.25" customHeight="1">
      <c r="A26" t="s">
        <v>14</v>
      </c>
      <c r="B26" t="s">
        <v>3804</v>
      </c>
      <c r="C26" t="s">
        <v>3805</v>
      </c>
      <c r="D26" t="s">
        <v>3830</v>
      </c>
      <c r="E26" t="s">
        <v>3831</v>
      </c>
      <c r="F26" t="s">
        <v>3786</v>
      </c>
      <c r="G26" t="s">
        <v>472</v>
      </c>
    </row>
    <row r="27" spans="1:7" ht="11.25" customHeight="1">
      <c r="A27" t="s">
        <v>14</v>
      </c>
      <c r="B27" t="s">
        <v>3832</v>
      </c>
      <c r="C27" t="s">
        <v>3833</v>
      </c>
      <c r="D27" t="s">
        <v>3832</v>
      </c>
      <c r="E27" t="s">
        <v>3833</v>
      </c>
      <c r="F27" t="s">
        <v>3780</v>
      </c>
      <c r="G27" t="s">
        <v>720</v>
      </c>
    </row>
    <row r="28" spans="1:7" ht="11.25" customHeight="1">
      <c r="A28" t="s">
        <v>14</v>
      </c>
      <c r="B28" t="s">
        <v>3834</v>
      </c>
      <c r="C28" t="s">
        <v>3835</v>
      </c>
      <c r="D28" t="s">
        <v>3834</v>
      </c>
      <c r="E28" t="s">
        <v>3835</v>
      </c>
      <c r="F28" t="s">
        <v>3783</v>
      </c>
      <c r="G28" t="s">
        <v>455</v>
      </c>
    </row>
    <row r="29" spans="1:7" ht="11.25" customHeight="1">
      <c r="A29" t="s">
        <v>14</v>
      </c>
      <c r="B29" t="s">
        <v>3834</v>
      </c>
      <c r="C29" t="s">
        <v>3835</v>
      </c>
      <c r="D29" t="s">
        <v>3836</v>
      </c>
      <c r="E29" t="s">
        <v>3837</v>
      </c>
      <c r="F29" t="s">
        <v>3838</v>
      </c>
      <c r="G29" t="s">
        <v>1122</v>
      </c>
    </row>
    <row r="30" spans="1:7" ht="11.25" customHeight="1">
      <c r="A30" t="s">
        <v>14</v>
      </c>
      <c r="B30" t="s">
        <v>3834</v>
      </c>
      <c r="C30" t="s">
        <v>3835</v>
      </c>
      <c r="D30" t="s">
        <v>3839</v>
      </c>
      <c r="E30" t="s">
        <v>3840</v>
      </c>
      <c r="F30" t="s">
        <v>3786</v>
      </c>
      <c r="G30" t="s">
        <v>1125</v>
      </c>
    </row>
    <row r="31" spans="1:7" ht="11.25" customHeight="1">
      <c r="A31" t="s">
        <v>14</v>
      </c>
      <c r="B31" t="s">
        <v>3834</v>
      </c>
      <c r="C31" t="s">
        <v>3835</v>
      </c>
      <c r="D31" t="s">
        <v>3841</v>
      </c>
      <c r="E31" t="s">
        <v>3842</v>
      </c>
      <c r="F31" t="s">
        <v>3786</v>
      </c>
      <c r="G31" t="s">
        <v>1131</v>
      </c>
    </row>
    <row r="32" spans="1:7" ht="11.25" customHeight="1">
      <c r="A32" t="s">
        <v>14</v>
      </c>
      <c r="B32" t="s">
        <v>3834</v>
      </c>
      <c r="C32" t="s">
        <v>3835</v>
      </c>
      <c r="D32" t="s">
        <v>3843</v>
      </c>
      <c r="E32" t="s">
        <v>3844</v>
      </c>
      <c r="F32" t="s">
        <v>3793</v>
      </c>
      <c r="G32" t="s">
        <v>1133</v>
      </c>
    </row>
    <row r="33" spans="1:7" ht="11.25" customHeight="1">
      <c r="A33" t="s">
        <v>14</v>
      </c>
      <c r="B33" t="s">
        <v>3834</v>
      </c>
      <c r="C33" t="s">
        <v>3835</v>
      </c>
      <c r="D33" t="s">
        <v>3845</v>
      </c>
      <c r="E33" t="s">
        <v>3846</v>
      </c>
      <c r="F33" t="s">
        <v>3793</v>
      </c>
      <c r="G33" t="s">
        <v>1135</v>
      </c>
    </row>
    <row r="34" spans="1:7" ht="11.25" customHeight="1">
      <c r="A34" t="s">
        <v>14</v>
      </c>
      <c r="B34" t="s">
        <v>3834</v>
      </c>
      <c r="C34" t="s">
        <v>3835</v>
      </c>
      <c r="D34" t="s">
        <v>3847</v>
      </c>
      <c r="E34" t="s">
        <v>3848</v>
      </c>
      <c r="F34" t="s">
        <v>3793</v>
      </c>
      <c r="G34" t="s">
        <v>1137</v>
      </c>
    </row>
    <row r="35" spans="1:7" ht="11.25" customHeight="1">
      <c r="A35" t="s">
        <v>14</v>
      </c>
      <c r="B35" t="s">
        <v>3834</v>
      </c>
      <c r="C35" t="s">
        <v>3835</v>
      </c>
      <c r="D35" t="s">
        <v>3849</v>
      </c>
      <c r="E35" t="s">
        <v>3850</v>
      </c>
      <c r="F35" t="s">
        <v>3786</v>
      </c>
      <c r="G35" t="s">
        <v>1142</v>
      </c>
    </row>
    <row r="36" spans="1:7" ht="11.25" customHeight="1">
      <c r="A36" t="s">
        <v>14</v>
      </c>
      <c r="B36" t="s">
        <v>3851</v>
      </c>
      <c r="C36" t="s">
        <v>3852</v>
      </c>
      <c r="D36" t="s">
        <v>3851</v>
      </c>
      <c r="E36" t="s">
        <v>3852</v>
      </c>
      <c r="F36" t="s">
        <v>3780</v>
      </c>
      <c r="G36" t="s">
        <v>1147</v>
      </c>
    </row>
    <row r="37" spans="1:7" ht="11.25" customHeight="1">
      <c r="A37" t="s">
        <v>14</v>
      </c>
      <c r="B37" t="s">
        <v>3853</v>
      </c>
      <c r="C37" t="s">
        <v>3854</v>
      </c>
      <c r="D37" t="s">
        <v>3855</v>
      </c>
      <c r="E37" t="s">
        <v>3856</v>
      </c>
      <c r="F37" t="s">
        <v>3786</v>
      </c>
      <c r="G37" t="s">
        <v>1150</v>
      </c>
    </row>
    <row r="38" spans="1:7" ht="11.25" customHeight="1">
      <c r="A38" t="s">
        <v>14</v>
      </c>
      <c r="B38" t="s">
        <v>3853</v>
      </c>
      <c r="C38" t="s">
        <v>3854</v>
      </c>
      <c r="D38" t="s">
        <v>3853</v>
      </c>
      <c r="E38" t="s">
        <v>3854</v>
      </c>
      <c r="F38" t="s">
        <v>3783</v>
      </c>
      <c r="G38" t="s">
        <v>1158</v>
      </c>
    </row>
    <row r="39" spans="1:7" ht="11.25" customHeight="1">
      <c r="A39" t="s">
        <v>14</v>
      </c>
      <c r="B39" t="s">
        <v>3853</v>
      </c>
      <c r="C39" t="s">
        <v>3854</v>
      </c>
      <c r="D39" t="s">
        <v>3857</v>
      </c>
      <c r="E39" t="s">
        <v>3858</v>
      </c>
      <c r="F39" t="s">
        <v>3838</v>
      </c>
      <c r="G39" t="s">
        <v>1164</v>
      </c>
    </row>
    <row r="40" spans="1:7" ht="11.25" customHeight="1">
      <c r="A40" t="s">
        <v>14</v>
      </c>
      <c r="B40" t="s">
        <v>3853</v>
      </c>
      <c r="C40" t="s">
        <v>3854</v>
      </c>
      <c r="D40" t="s">
        <v>3859</v>
      </c>
      <c r="E40" t="s">
        <v>3860</v>
      </c>
      <c r="F40" t="s">
        <v>3786</v>
      </c>
      <c r="G40" t="s">
        <v>1170</v>
      </c>
    </row>
    <row r="41" spans="1:7" ht="11.25" customHeight="1">
      <c r="A41" t="s">
        <v>14</v>
      </c>
      <c r="B41" t="s">
        <v>3853</v>
      </c>
      <c r="C41" t="s">
        <v>3854</v>
      </c>
      <c r="D41" t="s">
        <v>3861</v>
      </c>
      <c r="E41" t="s">
        <v>3862</v>
      </c>
      <c r="F41" t="s">
        <v>3786</v>
      </c>
      <c r="G41" t="s">
        <v>1176</v>
      </c>
    </row>
    <row r="42" spans="1:7" ht="11.25" customHeight="1">
      <c r="A42" t="s">
        <v>14</v>
      </c>
      <c r="B42" t="s">
        <v>3853</v>
      </c>
      <c r="C42" t="s">
        <v>3854</v>
      </c>
      <c r="D42" t="s">
        <v>3863</v>
      </c>
      <c r="E42" t="s">
        <v>3864</v>
      </c>
      <c r="F42" t="s">
        <v>3786</v>
      </c>
      <c r="G42" t="s">
        <v>1181</v>
      </c>
    </row>
    <row r="43" spans="1:7" ht="11.25" customHeight="1">
      <c r="A43" t="s">
        <v>14</v>
      </c>
      <c r="B43" t="s">
        <v>3853</v>
      </c>
      <c r="C43" t="s">
        <v>3854</v>
      </c>
      <c r="D43" t="s">
        <v>3865</v>
      </c>
      <c r="E43" t="s">
        <v>3866</v>
      </c>
      <c r="F43" t="s">
        <v>3786</v>
      </c>
      <c r="G43" t="s">
        <v>1188</v>
      </c>
    </row>
    <row r="44" spans="1:7" ht="11.25" customHeight="1">
      <c r="A44" t="s">
        <v>14</v>
      </c>
      <c r="B44" t="s">
        <v>3853</v>
      </c>
      <c r="C44" t="s">
        <v>3854</v>
      </c>
      <c r="D44" t="s">
        <v>3867</v>
      </c>
      <c r="E44" t="s">
        <v>3868</v>
      </c>
      <c r="F44" t="s">
        <v>3786</v>
      </c>
      <c r="G44" t="s">
        <v>1197</v>
      </c>
    </row>
    <row r="45" spans="1:7" ht="11.25" customHeight="1">
      <c r="A45" t="s">
        <v>14</v>
      </c>
      <c r="B45" t="s">
        <v>3853</v>
      </c>
      <c r="C45" t="s">
        <v>3854</v>
      </c>
      <c r="D45" t="s">
        <v>3869</v>
      </c>
      <c r="E45" t="s">
        <v>3870</v>
      </c>
      <c r="F45" t="s">
        <v>3786</v>
      </c>
      <c r="G45" t="s">
        <v>1203</v>
      </c>
    </row>
    <row r="46" spans="1:7" ht="11.25" customHeight="1">
      <c r="A46" t="s">
        <v>14</v>
      </c>
      <c r="B46" t="s">
        <v>3871</v>
      </c>
      <c r="C46" t="s">
        <v>3872</v>
      </c>
      <c r="D46" t="s">
        <v>3871</v>
      </c>
      <c r="E46" t="s">
        <v>3872</v>
      </c>
      <c r="F46" t="s">
        <v>3780</v>
      </c>
      <c r="G46" t="s">
        <v>474</v>
      </c>
    </row>
    <row r="47" spans="1:7" ht="11.25" customHeight="1">
      <c r="A47" t="s">
        <v>14</v>
      </c>
      <c r="B47" t="s">
        <v>3873</v>
      </c>
      <c r="C47" t="s">
        <v>3874</v>
      </c>
      <c r="D47" t="s">
        <v>3873</v>
      </c>
      <c r="E47" t="s">
        <v>3874</v>
      </c>
      <c r="F47" t="s">
        <v>3783</v>
      </c>
      <c r="G47" t="s">
        <v>1212</v>
      </c>
    </row>
    <row r="48" spans="1:7" ht="11.25" customHeight="1">
      <c r="A48" t="s">
        <v>14</v>
      </c>
      <c r="B48" t="s">
        <v>3873</v>
      </c>
      <c r="C48" t="s">
        <v>3874</v>
      </c>
      <c r="D48" t="s">
        <v>3875</v>
      </c>
      <c r="E48" t="s">
        <v>3876</v>
      </c>
      <c r="F48" t="s">
        <v>3786</v>
      </c>
      <c r="G48" t="s">
        <v>721</v>
      </c>
    </row>
    <row r="49" spans="1:7" ht="11.25" customHeight="1">
      <c r="A49" t="s">
        <v>14</v>
      </c>
      <c r="B49" t="s">
        <v>3873</v>
      </c>
      <c r="C49" t="s">
        <v>3874</v>
      </c>
      <c r="D49" t="s">
        <v>3877</v>
      </c>
      <c r="E49" t="s">
        <v>3878</v>
      </c>
      <c r="F49" t="s">
        <v>3786</v>
      </c>
      <c r="G49" t="s">
        <v>1221</v>
      </c>
    </row>
    <row r="50" spans="1:7" ht="11.25" customHeight="1">
      <c r="A50" t="s">
        <v>14</v>
      </c>
      <c r="B50" t="s">
        <v>3873</v>
      </c>
      <c r="C50" t="s">
        <v>3874</v>
      </c>
      <c r="D50" t="s">
        <v>3879</v>
      </c>
      <c r="E50" t="s">
        <v>3880</v>
      </c>
      <c r="F50" t="s">
        <v>3786</v>
      </c>
      <c r="G50" t="s">
        <v>1225</v>
      </c>
    </row>
    <row r="51" spans="1:7" ht="11.25" customHeight="1">
      <c r="A51" t="s">
        <v>14</v>
      </c>
      <c r="B51" t="s">
        <v>3873</v>
      </c>
      <c r="C51" t="s">
        <v>3874</v>
      </c>
      <c r="D51" t="s">
        <v>3881</v>
      </c>
      <c r="E51" t="s">
        <v>3882</v>
      </c>
      <c r="F51" t="s">
        <v>3786</v>
      </c>
      <c r="G51" t="s">
        <v>1229</v>
      </c>
    </row>
    <row r="52" spans="1:7" ht="11.25" customHeight="1">
      <c r="A52" t="s">
        <v>14</v>
      </c>
      <c r="B52" t="s">
        <v>3873</v>
      </c>
      <c r="C52" t="s">
        <v>3874</v>
      </c>
      <c r="D52" t="s">
        <v>3883</v>
      </c>
      <c r="E52" t="s">
        <v>3884</v>
      </c>
      <c r="F52" t="s">
        <v>3786</v>
      </c>
      <c r="G52" t="s">
        <v>1233</v>
      </c>
    </row>
    <row r="53" spans="1:7" ht="11.25" customHeight="1">
      <c r="A53" t="s">
        <v>14</v>
      </c>
      <c r="B53" t="s">
        <v>3873</v>
      </c>
      <c r="C53" t="s">
        <v>3874</v>
      </c>
      <c r="D53" t="s">
        <v>3885</v>
      </c>
      <c r="E53" t="s">
        <v>3886</v>
      </c>
      <c r="F53" t="s">
        <v>3786</v>
      </c>
      <c r="G53" t="s">
        <v>1235</v>
      </c>
    </row>
    <row r="54" spans="1:7" ht="11.25" customHeight="1">
      <c r="A54" t="s">
        <v>14</v>
      </c>
      <c r="B54" t="s">
        <v>3887</v>
      </c>
      <c r="C54" t="s">
        <v>3888</v>
      </c>
      <c r="D54" t="s">
        <v>3887</v>
      </c>
      <c r="E54" t="s">
        <v>3888</v>
      </c>
      <c r="F54" t="s">
        <v>3780</v>
      </c>
      <c r="G54" t="s">
        <v>1238</v>
      </c>
    </row>
    <row r="55" spans="1:7" ht="11.25" customHeight="1">
      <c r="A55" t="s">
        <v>14</v>
      </c>
      <c r="B55" t="s">
        <v>3889</v>
      </c>
      <c r="C55" t="s">
        <v>3890</v>
      </c>
      <c r="D55" t="s">
        <v>3889</v>
      </c>
      <c r="E55" t="s">
        <v>3890</v>
      </c>
      <c r="F55" t="s">
        <v>3783</v>
      </c>
      <c r="G55" t="s">
        <v>1242</v>
      </c>
    </row>
    <row r="56" spans="1:7" ht="11.25" customHeight="1">
      <c r="A56" t="s">
        <v>14</v>
      </c>
      <c r="B56" t="s">
        <v>3889</v>
      </c>
      <c r="C56" t="s">
        <v>3890</v>
      </c>
      <c r="D56" t="s">
        <v>3891</v>
      </c>
      <c r="E56" t="s">
        <v>3892</v>
      </c>
      <c r="F56" t="s">
        <v>3786</v>
      </c>
      <c r="G56" t="s">
        <v>1245</v>
      </c>
    </row>
    <row r="57" spans="1:7" ht="11.25" customHeight="1">
      <c r="A57" t="s">
        <v>14</v>
      </c>
      <c r="B57" t="s">
        <v>3889</v>
      </c>
      <c r="C57" t="s">
        <v>3890</v>
      </c>
      <c r="D57" t="s">
        <v>3893</v>
      </c>
      <c r="E57" t="s">
        <v>3894</v>
      </c>
      <c r="F57" t="s">
        <v>3793</v>
      </c>
      <c r="G57" t="s">
        <v>1248</v>
      </c>
    </row>
    <row r="58" spans="1:7" ht="11.25" customHeight="1">
      <c r="A58" t="s">
        <v>14</v>
      </c>
      <c r="B58" t="s">
        <v>3889</v>
      </c>
      <c r="C58" t="s">
        <v>3890</v>
      </c>
      <c r="D58" t="s">
        <v>3895</v>
      </c>
      <c r="E58" t="s">
        <v>3896</v>
      </c>
      <c r="F58" t="s">
        <v>3786</v>
      </c>
      <c r="G58" t="s">
        <v>1251</v>
      </c>
    </row>
    <row r="59" spans="1:7" ht="11.25" customHeight="1">
      <c r="A59" t="s">
        <v>14</v>
      </c>
      <c r="B59" t="s">
        <v>3889</v>
      </c>
      <c r="C59" t="s">
        <v>3890</v>
      </c>
      <c r="D59" t="s">
        <v>3897</v>
      </c>
      <c r="E59" t="s">
        <v>3898</v>
      </c>
      <c r="F59" t="s">
        <v>3786</v>
      </c>
      <c r="G59" t="s">
        <v>1255</v>
      </c>
    </row>
    <row r="60" spans="1:7" ht="11.25" customHeight="1">
      <c r="A60" t="s">
        <v>14</v>
      </c>
      <c r="B60" t="s">
        <v>3899</v>
      </c>
      <c r="C60" t="s">
        <v>3900</v>
      </c>
      <c r="D60" t="s">
        <v>3899</v>
      </c>
      <c r="E60" t="s">
        <v>3900</v>
      </c>
      <c r="F60" t="s">
        <v>3780</v>
      </c>
      <c r="G60" t="s">
        <v>1258</v>
      </c>
    </row>
    <row r="61" spans="1:7" ht="11.25" customHeight="1">
      <c r="A61" t="s">
        <v>14</v>
      </c>
      <c r="B61" t="s">
        <v>3901</v>
      </c>
      <c r="C61" t="s">
        <v>3902</v>
      </c>
      <c r="D61" t="s">
        <v>3903</v>
      </c>
      <c r="E61" t="s">
        <v>3904</v>
      </c>
      <c r="F61" t="s">
        <v>3786</v>
      </c>
      <c r="G61" t="s">
        <v>3905</v>
      </c>
    </row>
    <row r="62" spans="1:7" ht="11.25" customHeight="1">
      <c r="A62" t="s">
        <v>14</v>
      </c>
      <c r="B62" t="s">
        <v>3901</v>
      </c>
      <c r="C62" t="s">
        <v>3902</v>
      </c>
      <c r="D62" t="s">
        <v>3901</v>
      </c>
      <c r="E62" t="s">
        <v>3902</v>
      </c>
      <c r="F62" t="s">
        <v>3783</v>
      </c>
      <c r="G62" t="s">
        <v>3906</v>
      </c>
    </row>
    <row r="63" spans="1:7" ht="11.25" customHeight="1">
      <c r="A63" t="s">
        <v>14</v>
      </c>
      <c r="B63" t="s">
        <v>3901</v>
      </c>
      <c r="C63" t="s">
        <v>3902</v>
      </c>
      <c r="D63" t="s">
        <v>3907</v>
      </c>
      <c r="E63" t="s">
        <v>3908</v>
      </c>
      <c r="F63" t="s">
        <v>3786</v>
      </c>
      <c r="G63" t="s">
        <v>3909</v>
      </c>
    </row>
    <row r="64" spans="1:7" ht="11.25" customHeight="1">
      <c r="A64" t="s">
        <v>14</v>
      </c>
      <c r="B64" t="s">
        <v>3901</v>
      </c>
      <c r="C64" t="s">
        <v>3902</v>
      </c>
      <c r="D64" t="s">
        <v>3910</v>
      </c>
      <c r="E64" t="s">
        <v>3911</v>
      </c>
      <c r="F64" t="s">
        <v>3786</v>
      </c>
      <c r="G64" t="s">
        <v>3912</v>
      </c>
    </row>
    <row r="65" spans="1:7" ht="11.25" customHeight="1">
      <c r="A65" t="s">
        <v>14</v>
      </c>
      <c r="B65" t="s">
        <v>3901</v>
      </c>
      <c r="C65" t="s">
        <v>3902</v>
      </c>
      <c r="D65" t="s">
        <v>3913</v>
      </c>
      <c r="E65" t="s">
        <v>3914</v>
      </c>
      <c r="F65" t="s">
        <v>3793</v>
      </c>
      <c r="G65" t="s">
        <v>3915</v>
      </c>
    </row>
    <row r="66" spans="1:7" ht="11.25" customHeight="1">
      <c r="A66" t="s">
        <v>14</v>
      </c>
      <c r="B66" t="s">
        <v>3901</v>
      </c>
      <c r="C66" t="s">
        <v>3902</v>
      </c>
      <c r="D66" t="s">
        <v>3916</v>
      </c>
      <c r="E66" t="s">
        <v>3917</v>
      </c>
      <c r="F66" t="s">
        <v>3786</v>
      </c>
      <c r="G66" t="s">
        <v>3918</v>
      </c>
    </row>
    <row r="67" spans="1:7" ht="11.25" customHeight="1">
      <c r="A67" t="s">
        <v>14</v>
      </c>
      <c r="B67" t="s">
        <v>3901</v>
      </c>
      <c r="C67" t="s">
        <v>3902</v>
      </c>
      <c r="D67" t="s">
        <v>3919</v>
      </c>
      <c r="E67" t="s">
        <v>3920</v>
      </c>
      <c r="F67" t="s">
        <v>3786</v>
      </c>
      <c r="G67" t="s">
        <v>475</v>
      </c>
    </row>
    <row r="68" spans="1:7" ht="11.25" customHeight="1">
      <c r="A68" t="s">
        <v>14</v>
      </c>
      <c r="B68" t="s">
        <v>3921</v>
      </c>
      <c r="C68" t="s">
        <v>3922</v>
      </c>
      <c r="D68" t="s">
        <v>3921</v>
      </c>
      <c r="E68" t="s">
        <v>3922</v>
      </c>
      <c r="F68" t="s">
        <v>3780</v>
      </c>
      <c r="G68" t="s">
        <v>3923</v>
      </c>
    </row>
    <row r="69" spans="1:7" ht="11.25" customHeight="1">
      <c r="A69" t="s">
        <v>14</v>
      </c>
      <c r="B69" t="s">
        <v>3924</v>
      </c>
      <c r="C69" t="s">
        <v>3925</v>
      </c>
      <c r="D69" t="s">
        <v>3924</v>
      </c>
      <c r="E69" t="s">
        <v>3925</v>
      </c>
      <c r="F69" t="s">
        <v>3783</v>
      </c>
      <c r="G69" t="s">
        <v>722</v>
      </c>
    </row>
    <row r="70" spans="1:7" ht="11.25" customHeight="1">
      <c r="A70" t="s">
        <v>14</v>
      </c>
      <c r="B70" t="s">
        <v>3924</v>
      </c>
      <c r="C70" t="s">
        <v>3925</v>
      </c>
      <c r="D70" t="s">
        <v>3926</v>
      </c>
      <c r="E70" t="s">
        <v>3927</v>
      </c>
      <c r="F70" t="s">
        <v>3786</v>
      </c>
      <c r="G70" t="s">
        <v>3928</v>
      </c>
    </row>
    <row r="71" spans="1:7" ht="11.25" customHeight="1">
      <c r="A71" t="s">
        <v>14</v>
      </c>
      <c r="B71" t="s">
        <v>3924</v>
      </c>
      <c r="C71" t="s">
        <v>3925</v>
      </c>
      <c r="D71" t="s">
        <v>3929</v>
      </c>
      <c r="E71" t="s">
        <v>3930</v>
      </c>
      <c r="F71" t="s">
        <v>3786</v>
      </c>
      <c r="G71" t="s">
        <v>3931</v>
      </c>
    </row>
    <row r="72" spans="1:7" ht="11.25" customHeight="1">
      <c r="A72" t="s">
        <v>14</v>
      </c>
      <c r="B72" t="s">
        <v>3924</v>
      </c>
      <c r="C72" t="s">
        <v>3925</v>
      </c>
      <c r="D72" t="s">
        <v>3932</v>
      </c>
      <c r="E72" t="s">
        <v>3933</v>
      </c>
      <c r="F72" t="s">
        <v>3786</v>
      </c>
      <c r="G72" t="s">
        <v>3934</v>
      </c>
    </row>
    <row r="73" spans="1:7" ht="11.25" customHeight="1">
      <c r="A73" t="s">
        <v>14</v>
      </c>
      <c r="B73" t="s">
        <v>3924</v>
      </c>
      <c r="C73" t="s">
        <v>3925</v>
      </c>
      <c r="D73" t="s">
        <v>3935</v>
      </c>
      <c r="E73" t="s">
        <v>3936</v>
      </c>
      <c r="F73" t="s">
        <v>3786</v>
      </c>
      <c r="G73" t="s">
        <v>3937</v>
      </c>
    </row>
    <row r="74" spans="1:7" ht="11.25" customHeight="1">
      <c r="A74" t="s">
        <v>14</v>
      </c>
      <c r="B74" t="s">
        <v>3924</v>
      </c>
      <c r="C74" t="s">
        <v>3925</v>
      </c>
      <c r="D74" t="s">
        <v>3938</v>
      </c>
      <c r="E74" t="s">
        <v>3939</v>
      </c>
      <c r="F74" t="s">
        <v>3786</v>
      </c>
      <c r="G74" t="s">
        <v>3940</v>
      </c>
    </row>
    <row r="75" spans="1:7" ht="11.25" customHeight="1">
      <c r="A75" t="s">
        <v>14</v>
      </c>
      <c r="B75" t="s">
        <v>3924</v>
      </c>
      <c r="C75" t="s">
        <v>3925</v>
      </c>
      <c r="D75" t="s">
        <v>3941</v>
      </c>
      <c r="E75" t="s">
        <v>3942</v>
      </c>
      <c r="F75" t="s">
        <v>3786</v>
      </c>
      <c r="G75" t="s">
        <v>3943</v>
      </c>
    </row>
    <row r="76" spans="1:7" ht="11.25" customHeight="1">
      <c r="A76" t="s">
        <v>14</v>
      </c>
      <c r="B76" t="s">
        <v>3944</v>
      </c>
      <c r="C76" t="s">
        <v>3945</v>
      </c>
      <c r="D76" t="s">
        <v>3944</v>
      </c>
      <c r="E76" t="s">
        <v>3945</v>
      </c>
      <c r="F76" t="s">
        <v>3780</v>
      </c>
      <c r="G76" t="s">
        <v>3946</v>
      </c>
    </row>
    <row r="77" spans="1:7" ht="11.25" customHeight="1">
      <c r="A77" t="s">
        <v>14</v>
      </c>
      <c r="B77" t="s">
        <v>3947</v>
      </c>
      <c r="C77" t="s">
        <v>3948</v>
      </c>
      <c r="D77" t="s">
        <v>3949</v>
      </c>
      <c r="E77" t="s">
        <v>3950</v>
      </c>
      <c r="F77" t="s">
        <v>3786</v>
      </c>
      <c r="G77" t="s">
        <v>3951</v>
      </c>
    </row>
    <row r="78" spans="1:7" ht="11.25" customHeight="1">
      <c r="A78" t="s">
        <v>14</v>
      </c>
      <c r="B78" t="s">
        <v>3947</v>
      </c>
      <c r="C78" t="s">
        <v>3948</v>
      </c>
      <c r="D78" t="s">
        <v>3947</v>
      </c>
      <c r="E78" t="s">
        <v>3948</v>
      </c>
      <c r="F78" t="s">
        <v>3783</v>
      </c>
      <c r="G78" t="s">
        <v>3952</v>
      </c>
    </row>
    <row r="79" spans="1:7" ht="11.25" customHeight="1">
      <c r="A79" t="s">
        <v>14</v>
      </c>
      <c r="B79" t="s">
        <v>3947</v>
      </c>
      <c r="C79" t="s">
        <v>3948</v>
      </c>
      <c r="D79" t="s">
        <v>3953</v>
      </c>
      <c r="E79" t="s">
        <v>3954</v>
      </c>
      <c r="F79" t="s">
        <v>3786</v>
      </c>
      <c r="G79" t="s">
        <v>3955</v>
      </c>
    </row>
    <row r="80" spans="1:7" ht="11.25" customHeight="1">
      <c r="A80" t="s">
        <v>14</v>
      </c>
      <c r="B80" t="s">
        <v>3947</v>
      </c>
      <c r="C80" t="s">
        <v>3948</v>
      </c>
      <c r="D80" t="s">
        <v>3956</v>
      </c>
      <c r="E80" t="s">
        <v>3957</v>
      </c>
      <c r="F80" t="s">
        <v>3786</v>
      </c>
      <c r="G80" t="s">
        <v>3958</v>
      </c>
    </row>
    <row r="81" spans="1:7" ht="11.25" customHeight="1">
      <c r="A81" t="s">
        <v>14</v>
      </c>
      <c r="B81" t="s">
        <v>3947</v>
      </c>
      <c r="C81" t="s">
        <v>3948</v>
      </c>
      <c r="D81" t="s">
        <v>3959</v>
      </c>
      <c r="E81" t="s">
        <v>3960</v>
      </c>
      <c r="F81" t="s">
        <v>3793</v>
      </c>
      <c r="G81" t="s">
        <v>3961</v>
      </c>
    </row>
    <row r="82" spans="1:7" ht="11.25" customHeight="1">
      <c r="A82" t="s">
        <v>14</v>
      </c>
      <c r="B82" t="s">
        <v>3947</v>
      </c>
      <c r="C82" t="s">
        <v>3948</v>
      </c>
      <c r="D82" t="s">
        <v>3962</v>
      </c>
      <c r="E82" t="s">
        <v>3963</v>
      </c>
      <c r="F82" t="s">
        <v>3786</v>
      </c>
      <c r="G82" t="s">
        <v>3964</v>
      </c>
    </row>
    <row r="83" spans="1:7" ht="11.25" customHeight="1">
      <c r="A83" t="s">
        <v>14</v>
      </c>
      <c r="B83" t="s">
        <v>3947</v>
      </c>
      <c r="C83" t="s">
        <v>3948</v>
      </c>
      <c r="D83" t="s">
        <v>3965</v>
      </c>
      <c r="E83" t="s">
        <v>3966</v>
      </c>
      <c r="F83" t="s">
        <v>3786</v>
      </c>
      <c r="G83" t="s">
        <v>3967</v>
      </c>
    </row>
    <row r="84" spans="1:7" ht="11.25" customHeight="1">
      <c r="A84" t="s">
        <v>14</v>
      </c>
      <c r="B84" t="s">
        <v>3968</v>
      </c>
      <c r="C84" t="s">
        <v>3969</v>
      </c>
      <c r="D84" t="s">
        <v>3968</v>
      </c>
      <c r="E84" t="s">
        <v>3969</v>
      </c>
      <c r="F84" t="s">
        <v>3780</v>
      </c>
      <c r="G84" t="s">
        <v>3970</v>
      </c>
    </row>
    <row r="85" spans="1:7" ht="11.25" customHeight="1">
      <c r="A85" t="s">
        <v>14</v>
      </c>
      <c r="B85" t="s">
        <v>3971</v>
      </c>
      <c r="C85" t="s">
        <v>3972</v>
      </c>
      <c r="D85" t="s">
        <v>3973</v>
      </c>
      <c r="E85" t="s">
        <v>3974</v>
      </c>
      <c r="F85" t="s">
        <v>3786</v>
      </c>
      <c r="G85" t="s">
        <v>3975</v>
      </c>
    </row>
    <row r="86" spans="1:7" ht="11.25" customHeight="1">
      <c r="A86" t="s">
        <v>14</v>
      </c>
      <c r="B86" t="s">
        <v>3971</v>
      </c>
      <c r="C86" t="s">
        <v>3972</v>
      </c>
      <c r="D86" t="s">
        <v>3971</v>
      </c>
      <c r="E86" t="s">
        <v>3972</v>
      </c>
      <c r="F86" t="s">
        <v>3783</v>
      </c>
      <c r="G86" t="s">
        <v>3976</v>
      </c>
    </row>
    <row r="87" spans="1:7" ht="11.25" customHeight="1">
      <c r="A87" t="s">
        <v>14</v>
      </c>
      <c r="B87" t="s">
        <v>3971</v>
      </c>
      <c r="C87" t="s">
        <v>3972</v>
      </c>
      <c r="D87" t="s">
        <v>3977</v>
      </c>
      <c r="E87" t="s">
        <v>3978</v>
      </c>
      <c r="F87" t="s">
        <v>3786</v>
      </c>
      <c r="G87" t="s">
        <v>3979</v>
      </c>
    </row>
    <row r="88" spans="1:7" ht="11.25" customHeight="1">
      <c r="A88" t="s">
        <v>14</v>
      </c>
      <c r="B88" t="s">
        <v>3971</v>
      </c>
      <c r="C88" t="s">
        <v>3972</v>
      </c>
      <c r="D88" t="s">
        <v>3980</v>
      </c>
      <c r="E88" t="s">
        <v>3981</v>
      </c>
      <c r="F88" t="s">
        <v>3786</v>
      </c>
      <c r="G88" t="s">
        <v>3982</v>
      </c>
    </row>
    <row r="89" spans="1:7" ht="11.25" customHeight="1">
      <c r="A89" t="s">
        <v>14</v>
      </c>
      <c r="B89" t="s">
        <v>3971</v>
      </c>
      <c r="C89" t="s">
        <v>3972</v>
      </c>
      <c r="D89" t="s">
        <v>3983</v>
      </c>
      <c r="E89" t="s">
        <v>3984</v>
      </c>
      <c r="F89" t="s">
        <v>3793</v>
      </c>
      <c r="G89" t="s">
        <v>3985</v>
      </c>
    </row>
    <row r="90" spans="1:7" ht="11.25" customHeight="1">
      <c r="A90" t="s">
        <v>14</v>
      </c>
      <c r="B90" t="s">
        <v>3971</v>
      </c>
      <c r="C90" t="s">
        <v>3972</v>
      </c>
      <c r="D90" t="s">
        <v>3986</v>
      </c>
      <c r="E90" t="s">
        <v>3987</v>
      </c>
      <c r="F90" t="s">
        <v>3786</v>
      </c>
      <c r="G90" t="s">
        <v>3988</v>
      </c>
    </row>
    <row r="91" spans="1:7" ht="11.25" customHeight="1">
      <c r="A91" t="s">
        <v>14</v>
      </c>
      <c r="B91" t="s">
        <v>3971</v>
      </c>
      <c r="C91" t="s">
        <v>3972</v>
      </c>
      <c r="D91" t="s">
        <v>3989</v>
      </c>
      <c r="E91" t="s">
        <v>3990</v>
      </c>
      <c r="F91" t="s">
        <v>3786</v>
      </c>
      <c r="G91" t="s">
        <v>3991</v>
      </c>
    </row>
    <row r="92" spans="1:7" ht="11.25" customHeight="1">
      <c r="A92" t="s">
        <v>14</v>
      </c>
      <c r="B92" t="s">
        <v>3992</v>
      </c>
      <c r="C92" t="s">
        <v>3993</v>
      </c>
      <c r="D92" t="s">
        <v>3992</v>
      </c>
      <c r="E92" t="s">
        <v>3993</v>
      </c>
      <c r="F92" t="s">
        <v>3780</v>
      </c>
      <c r="G92" t="s">
        <v>3994</v>
      </c>
    </row>
    <row r="93" spans="1:7" ht="11.25" customHeight="1">
      <c r="A93" t="s">
        <v>14</v>
      </c>
      <c r="B93" t="s">
        <v>3995</v>
      </c>
      <c r="C93" t="s">
        <v>3996</v>
      </c>
      <c r="D93" t="s">
        <v>3995</v>
      </c>
      <c r="E93" t="s">
        <v>3996</v>
      </c>
      <c r="F93" t="s">
        <v>3783</v>
      </c>
      <c r="G93" t="s">
        <v>3997</v>
      </c>
    </row>
    <row r="94" spans="1:7" ht="11.25" customHeight="1">
      <c r="A94" t="s">
        <v>14</v>
      </c>
      <c r="B94" t="s">
        <v>3995</v>
      </c>
      <c r="C94" t="s">
        <v>3996</v>
      </c>
      <c r="D94" t="s">
        <v>3998</v>
      </c>
      <c r="E94" t="s">
        <v>3999</v>
      </c>
      <c r="F94" t="s">
        <v>3786</v>
      </c>
      <c r="G94" t="s">
        <v>4000</v>
      </c>
    </row>
    <row r="95" spans="1:7" ht="11.25" customHeight="1">
      <c r="A95" t="s">
        <v>14</v>
      </c>
      <c r="B95" t="s">
        <v>3995</v>
      </c>
      <c r="C95" t="s">
        <v>3996</v>
      </c>
      <c r="D95" t="s">
        <v>4001</v>
      </c>
      <c r="E95" t="s">
        <v>4002</v>
      </c>
      <c r="F95" t="s">
        <v>3838</v>
      </c>
      <c r="G95" t="s">
        <v>4003</v>
      </c>
    </row>
    <row r="96" spans="1:7" ht="11.25" customHeight="1">
      <c r="A96" t="s">
        <v>14</v>
      </c>
      <c r="B96" t="s">
        <v>3995</v>
      </c>
      <c r="C96" t="s">
        <v>3996</v>
      </c>
      <c r="D96" t="s">
        <v>4004</v>
      </c>
      <c r="E96" t="s">
        <v>4005</v>
      </c>
      <c r="F96" t="s">
        <v>3786</v>
      </c>
      <c r="G96" t="s">
        <v>4006</v>
      </c>
    </row>
    <row r="97" spans="1:7" ht="11.25" customHeight="1">
      <c r="A97" t="s">
        <v>14</v>
      </c>
      <c r="B97" t="s">
        <v>3995</v>
      </c>
      <c r="C97" t="s">
        <v>3996</v>
      </c>
      <c r="D97" t="s">
        <v>4007</v>
      </c>
      <c r="E97" t="s">
        <v>4008</v>
      </c>
      <c r="F97" t="s">
        <v>3786</v>
      </c>
      <c r="G97" t="s">
        <v>4009</v>
      </c>
    </row>
    <row r="98" spans="1:7" ht="11.25" customHeight="1">
      <c r="A98" t="s">
        <v>14</v>
      </c>
      <c r="B98" t="s">
        <v>3995</v>
      </c>
      <c r="C98" t="s">
        <v>3996</v>
      </c>
      <c r="D98" t="s">
        <v>4010</v>
      </c>
      <c r="E98" t="s">
        <v>4011</v>
      </c>
      <c r="F98" t="s">
        <v>3786</v>
      </c>
      <c r="G98" t="s">
        <v>4012</v>
      </c>
    </row>
    <row r="99" spans="1:7" ht="11.25" customHeight="1">
      <c r="A99" t="s">
        <v>14</v>
      </c>
      <c r="B99" t="s">
        <v>3995</v>
      </c>
      <c r="C99" t="s">
        <v>3996</v>
      </c>
      <c r="D99" t="s">
        <v>4013</v>
      </c>
      <c r="E99" t="s">
        <v>4014</v>
      </c>
      <c r="F99" t="s">
        <v>3786</v>
      </c>
      <c r="G99" t="s">
        <v>4015</v>
      </c>
    </row>
    <row r="100" spans="1:7" ht="11.25" customHeight="1">
      <c r="A100" t="s">
        <v>14</v>
      </c>
      <c r="B100" t="s">
        <v>3995</v>
      </c>
      <c r="C100" t="s">
        <v>3996</v>
      </c>
      <c r="D100" t="s">
        <v>4016</v>
      </c>
      <c r="E100" t="s">
        <v>4017</v>
      </c>
      <c r="F100" t="s">
        <v>3793</v>
      </c>
      <c r="G100" t="s">
        <v>4018</v>
      </c>
    </row>
    <row r="101" spans="1:7" ht="11.25" customHeight="1">
      <c r="A101" t="s">
        <v>14</v>
      </c>
      <c r="B101" t="s">
        <v>3995</v>
      </c>
      <c r="C101" t="s">
        <v>3996</v>
      </c>
      <c r="D101" t="s">
        <v>4019</v>
      </c>
      <c r="E101" t="s">
        <v>4020</v>
      </c>
      <c r="F101" t="s">
        <v>3786</v>
      </c>
      <c r="G101" t="s">
        <v>4021</v>
      </c>
    </row>
    <row r="102" spans="1:7" ht="11.25" customHeight="1">
      <c r="A102" t="s">
        <v>14</v>
      </c>
      <c r="B102" t="s">
        <v>3995</v>
      </c>
      <c r="C102" t="s">
        <v>3996</v>
      </c>
      <c r="D102" t="s">
        <v>4022</v>
      </c>
      <c r="E102" t="s">
        <v>4023</v>
      </c>
      <c r="F102" t="s">
        <v>3786</v>
      </c>
      <c r="G102" t="s">
        <v>4024</v>
      </c>
    </row>
    <row r="103" spans="1:7" ht="11.25" customHeight="1">
      <c r="A103" t="s">
        <v>14</v>
      </c>
      <c r="B103" t="s">
        <v>4025</v>
      </c>
      <c r="C103" t="s">
        <v>4026</v>
      </c>
      <c r="D103" t="s">
        <v>4025</v>
      </c>
      <c r="E103" t="s">
        <v>4026</v>
      </c>
      <c r="F103" t="s">
        <v>3780</v>
      </c>
      <c r="G103" t="s">
        <v>4027</v>
      </c>
    </row>
    <row r="104" spans="1:7" ht="11.25" customHeight="1">
      <c r="A104" t="s">
        <v>14</v>
      </c>
      <c r="B104" t="s">
        <v>4028</v>
      </c>
      <c r="C104" t="s">
        <v>4029</v>
      </c>
      <c r="D104" t="s">
        <v>4030</v>
      </c>
      <c r="E104" t="s">
        <v>4031</v>
      </c>
      <c r="F104" t="s">
        <v>3786</v>
      </c>
      <c r="G104" t="s">
        <v>4032</v>
      </c>
    </row>
    <row r="105" spans="1:7" ht="11.25" customHeight="1">
      <c r="A105" t="s">
        <v>14</v>
      </c>
      <c r="B105" t="s">
        <v>4028</v>
      </c>
      <c r="C105" t="s">
        <v>4029</v>
      </c>
      <c r="D105" t="s">
        <v>4033</v>
      </c>
      <c r="E105" t="s">
        <v>4034</v>
      </c>
      <c r="F105" t="s">
        <v>3786</v>
      </c>
      <c r="G105" t="s">
        <v>4035</v>
      </c>
    </row>
    <row r="106" spans="1:7" ht="11.25" customHeight="1">
      <c r="A106" t="s">
        <v>14</v>
      </c>
      <c r="B106" t="s">
        <v>4028</v>
      </c>
      <c r="C106" t="s">
        <v>4029</v>
      </c>
      <c r="D106" t="s">
        <v>4036</v>
      </c>
      <c r="E106" t="s">
        <v>4037</v>
      </c>
      <c r="F106" t="s">
        <v>3786</v>
      </c>
      <c r="G106" t="s">
        <v>4038</v>
      </c>
    </row>
    <row r="107" spans="1:7" ht="11.25" customHeight="1">
      <c r="A107" t="s">
        <v>14</v>
      </c>
      <c r="B107" t="s">
        <v>4028</v>
      </c>
      <c r="C107" t="s">
        <v>4029</v>
      </c>
      <c r="D107" t="s">
        <v>4028</v>
      </c>
      <c r="E107" t="s">
        <v>4029</v>
      </c>
      <c r="F107" t="s">
        <v>3783</v>
      </c>
      <c r="G107" t="s">
        <v>4039</v>
      </c>
    </row>
    <row r="108" spans="1:7" ht="11.25" customHeight="1">
      <c r="A108" t="s">
        <v>14</v>
      </c>
      <c r="B108" t="s">
        <v>4028</v>
      </c>
      <c r="C108" t="s">
        <v>4029</v>
      </c>
      <c r="D108" t="s">
        <v>4040</v>
      </c>
      <c r="E108" t="s">
        <v>4041</v>
      </c>
      <c r="F108" t="s">
        <v>3786</v>
      </c>
      <c r="G108" t="s">
        <v>4042</v>
      </c>
    </row>
    <row r="109" spans="1:7" ht="11.25" customHeight="1">
      <c r="A109" t="s">
        <v>14</v>
      </c>
      <c r="B109" t="s">
        <v>4028</v>
      </c>
      <c r="C109" t="s">
        <v>4029</v>
      </c>
      <c r="D109" t="s">
        <v>4043</v>
      </c>
      <c r="E109" t="s">
        <v>4044</v>
      </c>
      <c r="F109" t="s">
        <v>3786</v>
      </c>
      <c r="G109" t="s">
        <v>4045</v>
      </c>
    </row>
    <row r="110" spans="1:7" ht="11.25" customHeight="1">
      <c r="A110" t="s">
        <v>14</v>
      </c>
      <c r="B110" t="s">
        <v>4028</v>
      </c>
      <c r="C110" t="s">
        <v>4029</v>
      </c>
      <c r="D110" t="s">
        <v>4046</v>
      </c>
      <c r="E110" t="s">
        <v>4047</v>
      </c>
      <c r="F110" t="s">
        <v>3786</v>
      </c>
      <c r="G110" t="s">
        <v>4048</v>
      </c>
    </row>
    <row r="111" spans="1:7" ht="11.25" customHeight="1">
      <c r="A111" t="s">
        <v>14</v>
      </c>
      <c r="B111" t="s">
        <v>4028</v>
      </c>
      <c r="C111" t="s">
        <v>4029</v>
      </c>
      <c r="D111" t="s">
        <v>4049</v>
      </c>
      <c r="E111" t="s">
        <v>4050</v>
      </c>
      <c r="F111" t="s">
        <v>3786</v>
      </c>
      <c r="G111" t="s">
        <v>4051</v>
      </c>
    </row>
    <row r="112" spans="1:7" ht="11.25" customHeight="1">
      <c r="A112" t="s">
        <v>14</v>
      </c>
      <c r="B112" t="s">
        <v>4028</v>
      </c>
      <c r="C112" t="s">
        <v>4029</v>
      </c>
      <c r="D112" t="s">
        <v>4052</v>
      </c>
      <c r="E112" t="s">
        <v>4053</v>
      </c>
      <c r="F112" t="s">
        <v>3793</v>
      </c>
      <c r="G112" t="s">
        <v>4054</v>
      </c>
    </row>
    <row r="113" spans="1:7" ht="11.25" customHeight="1">
      <c r="A113" t="s">
        <v>14</v>
      </c>
      <c r="B113" t="s">
        <v>4028</v>
      </c>
      <c r="C113" t="s">
        <v>4029</v>
      </c>
      <c r="D113" t="s">
        <v>4055</v>
      </c>
      <c r="E113" t="s">
        <v>4056</v>
      </c>
      <c r="F113" t="s">
        <v>3786</v>
      </c>
      <c r="G113" t="s">
        <v>4057</v>
      </c>
    </row>
    <row r="114" spans="1:7" ht="11.25" customHeight="1">
      <c r="A114" t="s">
        <v>14</v>
      </c>
      <c r="B114" t="s">
        <v>4058</v>
      </c>
      <c r="C114" t="s">
        <v>4059</v>
      </c>
      <c r="D114" t="s">
        <v>4058</v>
      </c>
      <c r="E114" t="s">
        <v>4059</v>
      </c>
      <c r="F114" t="s">
        <v>3780</v>
      </c>
      <c r="G114" t="s">
        <v>4060</v>
      </c>
    </row>
    <row r="115" spans="1:7" ht="11.25" customHeight="1">
      <c r="A115" t="s">
        <v>14</v>
      </c>
      <c r="B115" t="s">
        <v>4061</v>
      </c>
      <c r="C115" t="s">
        <v>4062</v>
      </c>
      <c r="D115" t="s">
        <v>4061</v>
      </c>
      <c r="E115" t="s">
        <v>4062</v>
      </c>
      <c r="F115" t="s">
        <v>3783</v>
      </c>
      <c r="G115" t="s">
        <v>4063</v>
      </c>
    </row>
    <row r="116" spans="1:7" ht="11.25" customHeight="1">
      <c r="A116" t="s">
        <v>14</v>
      </c>
      <c r="B116" t="s">
        <v>4061</v>
      </c>
      <c r="C116" t="s">
        <v>4062</v>
      </c>
      <c r="D116" t="s">
        <v>4064</v>
      </c>
      <c r="E116" t="s">
        <v>4065</v>
      </c>
      <c r="F116" t="s">
        <v>3838</v>
      </c>
      <c r="G116" t="s">
        <v>4066</v>
      </c>
    </row>
    <row r="117" spans="1:7" ht="11.25" customHeight="1">
      <c r="A117" t="s">
        <v>14</v>
      </c>
      <c r="B117" t="s">
        <v>4061</v>
      </c>
      <c r="C117" t="s">
        <v>4062</v>
      </c>
      <c r="D117" t="s">
        <v>4067</v>
      </c>
      <c r="E117" t="s">
        <v>4068</v>
      </c>
      <c r="F117" t="s">
        <v>3786</v>
      </c>
      <c r="G117" t="s">
        <v>4069</v>
      </c>
    </row>
    <row r="118" spans="1:7" ht="11.25" customHeight="1">
      <c r="A118" t="s">
        <v>14</v>
      </c>
      <c r="B118" t="s">
        <v>4061</v>
      </c>
      <c r="C118" t="s">
        <v>4062</v>
      </c>
      <c r="D118" t="s">
        <v>4070</v>
      </c>
      <c r="E118" t="s">
        <v>4071</v>
      </c>
      <c r="F118" t="s">
        <v>3786</v>
      </c>
      <c r="G118" t="s">
        <v>4072</v>
      </c>
    </row>
    <row r="119" spans="1:7" ht="11.25" customHeight="1">
      <c r="A119" t="s">
        <v>14</v>
      </c>
      <c r="B119" t="s">
        <v>4061</v>
      </c>
      <c r="C119" t="s">
        <v>4062</v>
      </c>
      <c r="D119" t="s">
        <v>4073</v>
      </c>
      <c r="E119" t="s">
        <v>4074</v>
      </c>
      <c r="F119" t="s">
        <v>3786</v>
      </c>
      <c r="G119" t="s">
        <v>4075</v>
      </c>
    </row>
    <row r="120" spans="1:7" ht="11.25" customHeight="1">
      <c r="A120" t="s">
        <v>14</v>
      </c>
      <c r="B120" t="s">
        <v>4061</v>
      </c>
      <c r="C120" t="s">
        <v>4062</v>
      </c>
      <c r="D120" t="s">
        <v>4076</v>
      </c>
      <c r="E120" t="s">
        <v>4077</v>
      </c>
      <c r="F120" t="s">
        <v>3793</v>
      </c>
      <c r="G120" t="s">
        <v>4078</v>
      </c>
    </row>
    <row r="121" spans="1:7" ht="11.25" customHeight="1">
      <c r="A121" t="s">
        <v>14</v>
      </c>
      <c r="B121" t="s">
        <v>4061</v>
      </c>
      <c r="C121" t="s">
        <v>4062</v>
      </c>
      <c r="D121" t="s">
        <v>4079</v>
      </c>
      <c r="E121" t="s">
        <v>4080</v>
      </c>
      <c r="F121" t="s">
        <v>3793</v>
      </c>
      <c r="G121" t="s">
        <v>4081</v>
      </c>
    </row>
    <row r="122" spans="1:7" ht="11.25" customHeight="1">
      <c r="A122" t="s">
        <v>14</v>
      </c>
      <c r="B122" t="s">
        <v>4061</v>
      </c>
      <c r="C122" t="s">
        <v>4062</v>
      </c>
      <c r="D122" t="s">
        <v>4082</v>
      </c>
      <c r="E122" t="s">
        <v>4083</v>
      </c>
      <c r="F122" t="s">
        <v>3793</v>
      </c>
      <c r="G122" t="s">
        <v>4084</v>
      </c>
    </row>
    <row r="123" spans="1:7" ht="11.25" customHeight="1">
      <c r="A123" t="s">
        <v>14</v>
      </c>
      <c r="B123" t="s">
        <v>4061</v>
      </c>
      <c r="C123" t="s">
        <v>4062</v>
      </c>
      <c r="D123" t="s">
        <v>4085</v>
      </c>
      <c r="E123" t="s">
        <v>4086</v>
      </c>
      <c r="F123" t="s">
        <v>3793</v>
      </c>
      <c r="G123" t="s">
        <v>4087</v>
      </c>
    </row>
    <row r="124" spans="1:7" ht="11.25" customHeight="1">
      <c r="A124" t="s">
        <v>14</v>
      </c>
      <c r="B124" t="s">
        <v>4061</v>
      </c>
      <c r="C124" t="s">
        <v>4062</v>
      </c>
      <c r="D124" t="s">
        <v>4088</v>
      </c>
      <c r="E124" t="s">
        <v>4089</v>
      </c>
      <c r="F124" t="s">
        <v>3793</v>
      </c>
      <c r="G124" t="s">
        <v>4090</v>
      </c>
    </row>
    <row r="125" spans="1:7" ht="11.25" customHeight="1">
      <c r="A125" t="s">
        <v>14</v>
      </c>
      <c r="B125" t="s">
        <v>4061</v>
      </c>
      <c r="C125" t="s">
        <v>4062</v>
      </c>
      <c r="D125" t="s">
        <v>4091</v>
      </c>
      <c r="E125" t="s">
        <v>4092</v>
      </c>
      <c r="F125" t="s">
        <v>3793</v>
      </c>
      <c r="G125" t="s">
        <v>4093</v>
      </c>
    </row>
    <row r="126" spans="1:7" ht="11.25" customHeight="1">
      <c r="A126" t="s">
        <v>14</v>
      </c>
      <c r="B126" t="s">
        <v>4061</v>
      </c>
      <c r="C126" t="s">
        <v>4062</v>
      </c>
      <c r="D126" t="s">
        <v>4094</v>
      </c>
      <c r="E126" t="s">
        <v>4095</v>
      </c>
      <c r="F126" t="s">
        <v>3786</v>
      </c>
      <c r="G126" t="s">
        <v>4096</v>
      </c>
    </row>
    <row r="127" spans="1:7" ht="11.25" customHeight="1">
      <c r="A127" t="s">
        <v>14</v>
      </c>
      <c r="B127" t="s">
        <v>4097</v>
      </c>
      <c r="C127" t="s">
        <v>4098</v>
      </c>
      <c r="D127" t="s">
        <v>4097</v>
      </c>
      <c r="E127" t="s">
        <v>4098</v>
      </c>
      <c r="F127" t="s">
        <v>4099</v>
      </c>
      <c r="G127" t="s">
        <v>4100</v>
      </c>
    </row>
    <row r="128" spans="1:7" ht="11.25" customHeight="1">
      <c r="A128" t="s">
        <v>14</v>
      </c>
      <c r="B128" t="s">
        <v>4101</v>
      </c>
      <c r="C128" t="s">
        <v>4102</v>
      </c>
      <c r="D128" t="s">
        <v>4103</v>
      </c>
      <c r="E128" t="s">
        <v>4104</v>
      </c>
      <c r="F128" t="s">
        <v>3786</v>
      </c>
      <c r="G128" t="s">
        <v>4105</v>
      </c>
    </row>
    <row r="129" spans="1:7" ht="11.25" customHeight="1">
      <c r="A129" t="s">
        <v>14</v>
      </c>
      <c r="B129" t="s">
        <v>4101</v>
      </c>
      <c r="C129" t="s">
        <v>4102</v>
      </c>
      <c r="D129" t="s">
        <v>4101</v>
      </c>
      <c r="E129" t="s">
        <v>4102</v>
      </c>
      <c r="F129" t="s">
        <v>3783</v>
      </c>
      <c r="G129" t="s">
        <v>4106</v>
      </c>
    </row>
    <row r="130" spans="1:7" ht="11.25" customHeight="1">
      <c r="A130" t="s">
        <v>14</v>
      </c>
      <c r="B130" t="s">
        <v>4101</v>
      </c>
      <c r="C130" t="s">
        <v>4102</v>
      </c>
      <c r="D130" t="s">
        <v>3863</v>
      </c>
      <c r="E130" t="s">
        <v>4107</v>
      </c>
      <c r="F130" t="s">
        <v>3786</v>
      </c>
      <c r="G130" t="s">
        <v>4108</v>
      </c>
    </row>
    <row r="131" spans="1:7" ht="11.25" customHeight="1">
      <c r="A131" t="s">
        <v>14</v>
      </c>
      <c r="B131" t="s">
        <v>4101</v>
      </c>
      <c r="C131" t="s">
        <v>4102</v>
      </c>
      <c r="D131" t="s">
        <v>4109</v>
      </c>
      <c r="E131" t="s">
        <v>4110</v>
      </c>
      <c r="F131" t="s">
        <v>3786</v>
      </c>
      <c r="G131" t="s">
        <v>4111</v>
      </c>
    </row>
    <row r="132" spans="1:7" ht="11.25" customHeight="1">
      <c r="A132" t="s">
        <v>14</v>
      </c>
      <c r="B132" t="s">
        <v>4101</v>
      </c>
      <c r="C132" t="s">
        <v>4102</v>
      </c>
      <c r="D132" t="s">
        <v>4112</v>
      </c>
      <c r="E132" t="s">
        <v>4113</v>
      </c>
      <c r="F132" t="s">
        <v>3786</v>
      </c>
      <c r="G132" t="s">
        <v>4114</v>
      </c>
    </row>
    <row r="133" spans="1:7" ht="11.25" customHeight="1">
      <c r="A133" t="s">
        <v>14</v>
      </c>
      <c r="B133" t="s">
        <v>4101</v>
      </c>
      <c r="C133" t="s">
        <v>4102</v>
      </c>
      <c r="D133" t="s">
        <v>4115</v>
      </c>
      <c r="E133" t="s">
        <v>4116</v>
      </c>
      <c r="F133" t="s">
        <v>3786</v>
      </c>
      <c r="G133" t="s">
        <v>4117</v>
      </c>
    </row>
    <row r="134" spans="1:7" ht="11.25" customHeight="1">
      <c r="A134" t="s">
        <v>14</v>
      </c>
      <c r="B134" t="s">
        <v>4101</v>
      </c>
      <c r="C134" t="s">
        <v>4102</v>
      </c>
      <c r="D134" t="s">
        <v>4118</v>
      </c>
      <c r="E134" t="s">
        <v>4119</v>
      </c>
      <c r="F134" t="s">
        <v>3786</v>
      </c>
      <c r="G134" t="s">
        <v>4120</v>
      </c>
    </row>
    <row r="135" spans="1:7" ht="11.25" customHeight="1">
      <c r="A135" t="s">
        <v>14</v>
      </c>
      <c r="B135" t="s">
        <v>4101</v>
      </c>
      <c r="C135" t="s">
        <v>4102</v>
      </c>
      <c r="D135" t="s">
        <v>4121</v>
      </c>
      <c r="E135" t="s">
        <v>4122</v>
      </c>
      <c r="F135" t="s">
        <v>3793</v>
      </c>
      <c r="G135" t="s">
        <v>4123</v>
      </c>
    </row>
    <row r="136" spans="1:7" ht="11.25" customHeight="1">
      <c r="A136" t="s">
        <v>14</v>
      </c>
      <c r="B136" t="s">
        <v>4101</v>
      </c>
      <c r="C136" t="s">
        <v>4102</v>
      </c>
      <c r="D136" t="s">
        <v>4124</v>
      </c>
      <c r="E136" t="s">
        <v>4125</v>
      </c>
      <c r="F136" t="s">
        <v>3793</v>
      </c>
      <c r="G136" t="s">
        <v>4126</v>
      </c>
    </row>
    <row r="137" spans="1:7" ht="11.25" customHeight="1">
      <c r="A137" t="s">
        <v>14</v>
      </c>
      <c r="B137" t="s">
        <v>4101</v>
      </c>
      <c r="C137" t="s">
        <v>4102</v>
      </c>
      <c r="D137" t="s">
        <v>4127</v>
      </c>
      <c r="E137" t="s">
        <v>4128</v>
      </c>
      <c r="F137" t="s">
        <v>3786</v>
      </c>
      <c r="G137" t="s">
        <v>4129</v>
      </c>
    </row>
    <row r="138" spans="1:7" ht="11.25" customHeight="1">
      <c r="A138" t="s">
        <v>14</v>
      </c>
      <c r="B138" t="s">
        <v>4101</v>
      </c>
      <c r="C138" t="s">
        <v>4102</v>
      </c>
      <c r="D138" t="s">
        <v>4130</v>
      </c>
      <c r="E138" t="s">
        <v>4131</v>
      </c>
      <c r="F138" t="s">
        <v>3786</v>
      </c>
      <c r="G138" t="s">
        <v>4132</v>
      </c>
    </row>
    <row r="139" spans="1:7" ht="11.25" customHeight="1">
      <c r="A139" t="s">
        <v>14</v>
      </c>
      <c r="B139" t="s">
        <v>4101</v>
      </c>
      <c r="C139" t="s">
        <v>4102</v>
      </c>
      <c r="D139" t="s">
        <v>4133</v>
      </c>
      <c r="E139" t="s">
        <v>4134</v>
      </c>
      <c r="F139" t="s">
        <v>3786</v>
      </c>
      <c r="G139" t="s">
        <v>4135</v>
      </c>
    </row>
    <row r="140" spans="1:7" ht="11.25" customHeight="1">
      <c r="A140" t="s">
        <v>14</v>
      </c>
      <c r="B140" t="s">
        <v>4136</v>
      </c>
      <c r="C140" t="s">
        <v>4137</v>
      </c>
      <c r="D140" t="s">
        <v>4136</v>
      </c>
      <c r="E140" t="s">
        <v>4137</v>
      </c>
      <c r="F140" t="s">
        <v>3780</v>
      </c>
      <c r="G140" t="s">
        <v>4138</v>
      </c>
    </row>
    <row r="141" spans="1:7" ht="11.25" customHeight="1">
      <c r="A141" t="s">
        <v>14</v>
      </c>
      <c r="B141" t="s">
        <v>4139</v>
      </c>
      <c r="C141" t="s">
        <v>4140</v>
      </c>
      <c r="D141" t="s">
        <v>4141</v>
      </c>
      <c r="E141" t="s">
        <v>4142</v>
      </c>
      <c r="F141" t="s">
        <v>3786</v>
      </c>
      <c r="G141" t="s">
        <v>4143</v>
      </c>
    </row>
    <row r="142" spans="1:7" ht="11.25" customHeight="1">
      <c r="A142" t="s">
        <v>14</v>
      </c>
      <c r="B142" t="s">
        <v>4139</v>
      </c>
      <c r="C142" t="s">
        <v>4140</v>
      </c>
      <c r="D142" t="s">
        <v>3949</v>
      </c>
      <c r="E142" t="s">
        <v>4144</v>
      </c>
      <c r="F142" t="s">
        <v>3786</v>
      </c>
      <c r="G142" t="s">
        <v>4145</v>
      </c>
    </row>
    <row r="143" spans="1:7" ht="11.25" customHeight="1">
      <c r="A143" t="s">
        <v>14</v>
      </c>
      <c r="B143" t="s">
        <v>4139</v>
      </c>
      <c r="C143" t="s">
        <v>4140</v>
      </c>
      <c r="D143" t="s">
        <v>4146</v>
      </c>
      <c r="E143" t="s">
        <v>4147</v>
      </c>
      <c r="F143" t="s">
        <v>3786</v>
      </c>
      <c r="G143" t="s">
        <v>4148</v>
      </c>
    </row>
    <row r="144" spans="1:7" ht="11.25" customHeight="1">
      <c r="A144" t="s">
        <v>14</v>
      </c>
      <c r="B144" t="s">
        <v>4139</v>
      </c>
      <c r="C144" t="s">
        <v>4140</v>
      </c>
      <c r="D144" t="s">
        <v>4149</v>
      </c>
      <c r="E144" t="s">
        <v>4150</v>
      </c>
      <c r="F144" t="s">
        <v>3786</v>
      </c>
      <c r="G144" t="s">
        <v>4151</v>
      </c>
    </row>
    <row r="145" spans="1:7" ht="11.25" customHeight="1">
      <c r="A145" t="s">
        <v>14</v>
      </c>
      <c r="B145" t="s">
        <v>4139</v>
      </c>
      <c r="C145" t="s">
        <v>4140</v>
      </c>
      <c r="D145" t="s">
        <v>4139</v>
      </c>
      <c r="E145" t="s">
        <v>4140</v>
      </c>
      <c r="F145" t="s">
        <v>3783</v>
      </c>
      <c r="G145" t="s">
        <v>4152</v>
      </c>
    </row>
    <row r="146" spans="1:7" ht="11.25" customHeight="1">
      <c r="A146" t="s">
        <v>14</v>
      </c>
      <c r="B146" t="s">
        <v>4139</v>
      </c>
      <c r="C146" t="s">
        <v>4140</v>
      </c>
      <c r="D146" t="s">
        <v>4153</v>
      </c>
      <c r="E146" t="s">
        <v>4154</v>
      </c>
      <c r="F146" t="s">
        <v>3786</v>
      </c>
      <c r="G146" t="s">
        <v>4155</v>
      </c>
    </row>
    <row r="147" spans="1:7" ht="11.25" customHeight="1">
      <c r="A147" t="s">
        <v>14</v>
      </c>
      <c r="B147" t="s">
        <v>4139</v>
      </c>
      <c r="C147" t="s">
        <v>4140</v>
      </c>
      <c r="D147" t="s">
        <v>4156</v>
      </c>
      <c r="E147" t="s">
        <v>4157</v>
      </c>
      <c r="F147" t="s">
        <v>3786</v>
      </c>
      <c r="G147" t="s">
        <v>4158</v>
      </c>
    </row>
    <row r="148" spans="1:7" ht="11.25" customHeight="1">
      <c r="A148" t="s">
        <v>14</v>
      </c>
      <c r="B148" t="s">
        <v>4139</v>
      </c>
      <c r="C148" t="s">
        <v>4140</v>
      </c>
      <c r="D148" t="s">
        <v>4159</v>
      </c>
      <c r="E148" t="s">
        <v>4160</v>
      </c>
      <c r="F148" t="s">
        <v>3786</v>
      </c>
      <c r="G148" t="s">
        <v>4161</v>
      </c>
    </row>
    <row r="149" spans="1:7" ht="11.25" customHeight="1">
      <c r="A149" t="s">
        <v>14</v>
      </c>
      <c r="B149" t="s">
        <v>4139</v>
      </c>
      <c r="C149" t="s">
        <v>4140</v>
      </c>
      <c r="D149" t="s">
        <v>4162</v>
      </c>
      <c r="E149" t="s">
        <v>4163</v>
      </c>
      <c r="F149" t="s">
        <v>3786</v>
      </c>
      <c r="G149" t="s">
        <v>4164</v>
      </c>
    </row>
    <row r="150" spans="1:7" ht="11.25" customHeight="1">
      <c r="A150" t="s">
        <v>14</v>
      </c>
      <c r="B150" t="s">
        <v>4139</v>
      </c>
      <c r="C150" t="s">
        <v>4140</v>
      </c>
      <c r="D150" t="s">
        <v>4165</v>
      </c>
      <c r="E150" t="s">
        <v>4166</v>
      </c>
      <c r="F150" t="s">
        <v>3786</v>
      </c>
      <c r="G150" t="s">
        <v>4167</v>
      </c>
    </row>
    <row r="151" spans="1:7" ht="11.25" customHeight="1">
      <c r="A151" t="s">
        <v>14</v>
      </c>
      <c r="B151" t="s">
        <v>4139</v>
      </c>
      <c r="C151" t="s">
        <v>4140</v>
      </c>
      <c r="D151" t="s">
        <v>4168</v>
      </c>
      <c r="E151" t="s">
        <v>4169</v>
      </c>
      <c r="F151" t="s">
        <v>3793</v>
      </c>
      <c r="G151" t="s">
        <v>4170</v>
      </c>
    </row>
    <row r="152" spans="1:7" ht="11.25" customHeight="1">
      <c r="A152" t="s">
        <v>14</v>
      </c>
      <c r="B152" t="s">
        <v>4139</v>
      </c>
      <c r="C152" t="s">
        <v>4140</v>
      </c>
      <c r="D152" t="s">
        <v>4171</v>
      </c>
      <c r="E152" t="s">
        <v>4172</v>
      </c>
      <c r="F152" t="s">
        <v>3786</v>
      </c>
      <c r="G152" t="s">
        <v>4173</v>
      </c>
    </row>
    <row r="153" spans="1:7" ht="11.25" customHeight="1">
      <c r="A153" t="s">
        <v>14</v>
      </c>
      <c r="B153" t="s">
        <v>4174</v>
      </c>
      <c r="C153" t="s">
        <v>4175</v>
      </c>
      <c r="D153" t="s">
        <v>4174</v>
      </c>
      <c r="E153" t="s">
        <v>4175</v>
      </c>
      <c r="F153" t="s">
        <v>3780</v>
      </c>
      <c r="G153" t="s">
        <v>4176</v>
      </c>
    </row>
    <row r="154" spans="1:7" ht="11.25" customHeight="1">
      <c r="A154" t="s">
        <v>14</v>
      </c>
      <c r="B154" t="s">
        <v>4177</v>
      </c>
      <c r="C154" t="s">
        <v>4178</v>
      </c>
      <c r="D154" t="s">
        <v>4179</v>
      </c>
      <c r="E154" t="s">
        <v>4180</v>
      </c>
      <c r="F154" t="s">
        <v>3786</v>
      </c>
      <c r="G154" t="s">
        <v>4181</v>
      </c>
    </row>
    <row r="155" spans="1:7" ht="11.25" customHeight="1">
      <c r="A155" t="s">
        <v>14</v>
      </c>
      <c r="B155" t="s">
        <v>4177</v>
      </c>
      <c r="C155" t="s">
        <v>4178</v>
      </c>
      <c r="D155" t="s">
        <v>4182</v>
      </c>
      <c r="E155" t="s">
        <v>4183</v>
      </c>
      <c r="F155" t="s">
        <v>3786</v>
      </c>
      <c r="G155" t="s">
        <v>4184</v>
      </c>
    </row>
    <row r="156" spans="1:7" ht="11.25" customHeight="1">
      <c r="A156" t="s">
        <v>14</v>
      </c>
      <c r="B156" t="s">
        <v>4177</v>
      </c>
      <c r="C156" t="s">
        <v>4178</v>
      </c>
      <c r="D156" t="s">
        <v>4177</v>
      </c>
      <c r="E156" t="s">
        <v>4178</v>
      </c>
      <c r="F156" t="s">
        <v>3783</v>
      </c>
      <c r="G156" t="s">
        <v>4185</v>
      </c>
    </row>
    <row r="157" spans="1:7" ht="11.25" customHeight="1">
      <c r="A157" t="s">
        <v>14</v>
      </c>
      <c r="B157" t="s">
        <v>4177</v>
      </c>
      <c r="C157" t="s">
        <v>4178</v>
      </c>
      <c r="D157" t="s">
        <v>4186</v>
      </c>
      <c r="E157" t="s">
        <v>4187</v>
      </c>
      <c r="F157" t="s">
        <v>3786</v>
      </c>
      <c r="G157" t="s">
        <v>4188</v>
      </c>
    </row>
    <row r="158" spans="1:7" ht="11.25" customHeight="1">
      <c r="A158" t="s">
        <v>14</v>
      </c>
      <c r="B158" t="s">
        <v>4177</v>
      </c>
      <c r="C158" t="s">
        <v>4178</v>
      </c>
      <c r="D158" t="s">
        <v>4189</v>
      </c>
      <c r="E158" t="s">
        <v>4190</v>
      </c>
      <c r="F158" t="s">
        <v>3786</v>
      </c>
      <c r="G158" t="s">
        <v>4191</v>
      </c>
    </row>
    <row r="159" spans="1:7" ht="11.25" customHeight="1">
      <c r="A159" t="s">
        <v>14</v>
      </c>
      <c r="B159" t="s">
        <v>4177</v>
      </c>
      <c r="C159" t="s">
        <v>4178</v>
      </c>
      <c r="D159" t="s">
        <v>4192</v>
      </c>
      <c r="E159" t="s">
        <v>4193</v>
      </c>
      <c r="F159" t="s">
        <v>3786</v>
      </c>
      <c r="G159" t="s">
        <v>4194</v>
      </c>
    </row>
    <row r="160" spans="1:7" ht="11.25" customHeight="1">
      <c r="A160" t="s">
        <v>14</v>
      </c>
      <c r="B160" t="s">
        <v>4177</v>
      </c>
      <c r="C160" t="s">
        <v>4178</v>
      </c>
      <c r="D160" t="s">
        <v>4195</v>
      </c>
      <c r="E160" t="s">
        <v>4196</v>
      </c>
      <c r="F160" t="s">
        <v>3786</v>
      </c>
      <c r="G160" t="s">
        <v>4197</v>
      </c>
    </row>
    <row r="161" spans="1:7" ht="11.25" customHeight="1">
      <c r="A161" t="s">
        <v>14</v>
      </c>
      <c r="B161" t="s">
        <v>4198</v>
      </c>
      <c r="C161" t="s">
        <v>4199</v>
      </c>
      <c r="D161" t="s">
        <v>4198</v>
      </c>
      <c r="E161" t="s">
        <v>4199</v>
      </c>
      <c r="F161" t="s">
        <v>3780</v>
      </c>
      <c r="G161" t="s">
        <v>4200</v>
      </c>
    </row>
    <row r="162" spans="1:7" ht="11.25" customHeight="1">
      <c r="A162" t="s">
        <v>14</v>
      </c>
      <c r="B162" t="s">
        <v>4201</v>
      </c>
      <c r="C162" t="s">
        <v>4202</v>
      </c>
      <c r="D162" t="s">
        <v>4203</v>
      </c>
      <c r="E162" t="s">
        <v>4204</v>
      </c>
      <c r="F162" t="s">
        <v>3786</v>
      </c>
      <c r="G162" t="s">
        <v>4205</v>
      </c>
    </row>
    <row r="163" spans="1:7" ht="11.25" customHeight="1">
      <c r="A163" t="s">
        <v>14</v>
      </c>
      <c r="B163" t="s">
        <v>4201</v>
      </c>
      <c r="C163" t="s">
        <v>4202</v>
      </c>
      <c r="D163" t="s">
        <v>4206</v>
      </c>
      <c r="E163" t="s">
        <v>4207</v>
      </c>
      <c r="F163" t="s">
        <v>3838</v>
      </c>
      <c r="G163" t="s">
        <v>4208</v>
      </c>
    </row>
    <row r="164" spans="1:7" ht="11.25" customHeight="1">
      <c r="A164" t="s">
        <v>14</v>
      </c>
      <c r="B164" t="s">
        <v>4201</v>
      </c>
      <c r="C164" t="s">
        <v>4202</v>
      </c>
      <c r="D164" t="s">
        <v>4201</v>
      </c>
      <c r="E164" t="s">
        <v>4202</v>
      </c>
      <c r="F164" t="s">
        <v>3783</v>
      </c>
      <c r="G164" t="s">
        <v>4209</v>
      </c>
    </row>
    <row r="165" spans="1:7" ht="11.25" customHeight="1">
      <c r="A165" t="s">
        <v>14</v>
      </c>
      <c r="B165" t="s">
        <v>4201</v>
      </c>
      <c r="C165" t="s">
        <v>4202</v>
      </c>
      <c r="D165" t="s">
        <v>4210</v>
      </c>
      <c r="E165" t="s">
        <v>4211</v>
      </c>
      <c r="F165" t="s">
        <v>3786</v>
      </c>
      <c r="G165" t="s">
        <v>4212</v>
      </c>
    </row>
    <row r="166" spans="1:7" ht="11.25" customHeight="1">
      <c r="A166" t="s">
        <v>14</v>
      </c>
      <c r="B166" t="s">
        <v>4201</v>
      </c>
      <c r="C166" t="s">
        <v>4202</v>
      </c>
      <c r="D166" t="s">
        <v>4213</v>
      </c>
      <c r="E166" t="s">
        <v>4214</v>
      </c>
      <c r="F166" t="s">
        <v>3786</v>
      </c>
      <c r="G166" t="s">
        <v>4215</v>
      </c>
    </row>
    <row r="167" spans="1:7" ht="11.25" customHeight="1">
      <c r="A167" t="s">
        <v>14</v>
      </c>
      <c r="B167" t="s">
        <v>4201</v>
      </c>
      <c r="C167" t="s">
        <v>4202</v>
      </c>
      <c r="D167" t="s">
        <v>4216</v>
      </c>
      <c r="E167" t="s">
        <v>4217</v>
      </c>
      <c r="F167" t="s">
        <v>3786</v>
      </c>
      <c r="G167" t="s">
        <v>4218</v>
      </c>
    </row>
    <row r="168" spans="1:7" ht="11.25" customHeight="1">
      <c r="A168" t="s">
        <v>14</v>
      </c>
      <c r="B168" t="s">
        <v>4201</v>
      </c>
      <c r="C168" t="s">
        <v>4202</v>
      </c>
      <c r="D168" t="s">
        <v>4219</v>
      </c>
      <c r="E168" t="s">
        <v>4220</v>
      </c>
      <c r="F168" t="s">
        <v>3786</v>
      </c>
      <c r="G168" t="s">
        <v>4221</v>
      </c>
    </row>
    <row r="169" spans="1:7" ht="11.25" customHeight="1">
      <c r="A169" t="s">
        <v>14</v>
      </c>
      <c r="B169" t="s">
        <v>4201</v>
      </c>
      <c r="C169" t="s">
        <v>4202</v>
      </c>
      <c r="D169" t="s">
        <v>4222</v>
      </c>
      <c r="E169" t="s">
        <v>4223</v>
      </c>
      <c r="F169" t="s">
        <v>3793</v>
      </c>
      <c r="G169" t="s">
        <v>4224</v>
      </c>
    </row>
    <row r="170" spans="1:7" ht="11.25" customHeight="1">
      <c r="A170" t="s">
        <v>14</v>
      </c>
      <c r="B170" t="s">
        <v>4201</v>
      </c>
      <c r="C170" t="s">
        <v>4202</v>
      </c>
      <c r="D170" t="s">
        <v>4225</v>
      </c>
      <c r="E170" t="s">
        <v>4226</v>
      </c>
      <c r="F170" t="s">
        <v>3786</v>
      </c>
      <c r="G170" t="s">
        <v>4227</v>
      </c>
    </row>
    <row r="171" spans="1:7" ht="11.25" customHeight="1">
      <c r="A171" t="s">
        <v>14</v>
      </c>
      <c r="B171" t="s">
        <v>4201</v>
      </c>
      <c r="C171" t="s">
        <v>4202</v>
      </c>
      <c r="D171" t="s">
        <v>4228</v>
      </c>
      <c r="E171" t="s">
        <v>4229</v>
      </c>
      <c r="F171" t="s">
        <v>3786</v>
      </c>
      <c r="G171" t="s">
        <v>4230</v>
      </c>
    </row>
    <row r="172" spans="1:7" ht="11.25" customHeight="1">
      <c r="A172" t="s">
        <v>14</v>
      </c>
      <c r="B172" t="s">
        <v>4201</v>
      </c>
      <c r="C172" t="s">
        <v>4202</v>
      </c>
      <c r="D172" t="s">
        <v>4231</v>
      </c>
      <c r="E172" t="s">
        <v>4232</v>
      </c>
      <c r="F172" t="s">
        <v>3786</v>
      </c>
      <c r="G172" t="s">
        <v>4233</v>
      </c>
    </row>
    <row r="173" spans="1:7" ht="11.25" customHeight="1">
      <c r="A173" t="s">
        <v>14</v>
      </c>
      <c r="B173" t="s">
        <v>4201</v>
      </c>
      <c r="C173" t="s">
        <v>4202</v>
      </c>
      <c r="D173" t="s">
        <v>4234</v>
      </c>
      <c r="E173" t="s">
        <v>4235</v>
      </c>
      <c r="F173" t="s">
        <v>3786</v>
      </c>
      <c r="G173" t="s">
        <v>4236</v>
      </c>
    </row>
    <row r="174" spans="1:7" ht="11.25" customHeight="1">
      <c r="A174" t="s">
        <v>14</v>
      </c>
      <c r="B174" t="s">
        <v>4201</v>
      </c>
      <c r="C174" t="s">
        <v>4202</v>
      </c>
      <c r="D174" t="s">
        <v>4237</v>
      </c>
      <c r="E174" t="s">
        <v>4238</v>
      </c>
      <c r="F174" t="s">
        <v>3838</v>
      </c>
      <c r="G174" t="s">
        <v>4239</v>
      </c>
    </row>
    <row r="175" spans="1:7" ht="11.25" customHeight="1">
      <c r="A175" t="s">
        <v>14</v>
      </c>
      <c r="B175" t="s">
        <v>4240</v>
      </c>
      <c r="C175" t="s">
        <v>4241</v>
      </c>
      <c r="D175" t="s">
        <v>4240</v>
      </c>
      <c r="E175" t="s">
        <v>4241</v>
      </c>
      <c r="F175" t="s">
        <v>3780</v>
      </c>
      <c r="G175" t="s">
        <v>4242</v>
      </c>
    </row>
    <row r="176" spans="1:7" ht="11.25" customHeight="1">
      <c r="A176" t="s">
        <v>14</v>
      </c>
      <c r="B176" t="s">
        <v>4243</v>
      </c>
      <c r="C176" t="s">
        <v>4244</v>
      </c>
      <c r="D176" t="s">
        <v>4245</v>
      </c>
      <c r="E176" t="s">
        <v>4246</v>
      </c>
      <c r="F176" t="s">
        <v>3786</v>
      </c>
      <c r="G176" t="s">
        <v>4247</v>
      </c>
    </row>
    <row r="177" spans="1:7" ht="11.25" customHeight="1">
      <c r="A177" t="s">
        <v>14</v>
      </c>
      <c r="B177" t="s">
        <v>4243</v>
      </c>
      <c r="C177" t="s">
        <v>4244</v>
      </c>
      <c r="D177" t="s">
        <v>4248</v>
      </c>
      <c r="E177" t="s">
        <v>4249</v>
      </c>
      <c r="F177" t="s">
        <v>3786</v>
      </c>
      <c r="G177" t="s">
        <v>4250</v>
      </c>
    </row>
    <row r="178" spans="1:7" ht="11.25" customHeight="1">
      <c r="A178" t="s">
        <v>14</v>
      </c>
      <c r="B178" t="s">
        <v>4243</v>
      </c>
      <c r="C178" t="s">
        <v>4244</v>
      </c>
      <c r="D178" t="s">
        <v>4243</v>
      </c>
      <c r="E178" t="s">
        <v>4244</v>
      </c>
      <c r="F178" t="s">
        <v>3783</v>
      </c>
      <c r="G178" t="s">
        <v>4251</v>
      </c>
    </row>
    <row r="179" spans="1:7" ht="11.25" customHeight="1">
      <c r="A179" t="s">
        <v>14</v>
      </c>
      <c r="B179" t="s">
        <v>4243</v>
      </c>
      <c r="C179" t="s">
        <v>4244</v>
      </c>
      <c r="D179" t="s">
        <v>4252</v>
      </c>
      <c r="E179" t="s">
        <v>4253</v>
      </c>
      <c r="F179" t="s">
        <v>3786</v>
      </c>
      <c r="G179" t="s">
        <v>4254</v>
      </c>
    </row>
    <row r="180" spans="1:7" ht="11.25" customHeight="1">
      <c r="A180" t="s">
        <v>14</v>
      </c>
      <c r="B180" t="s">
        <v>4243</v>
      </c>
      <c r="C180" t="s">
        <v>4244</v>
      </c>
      <c r="D180" t="s">
        <v>4255</v>
      </c>
      <c r="E180" t="s">
        <v>4256</v>
      </c>
      <c r="F180" t="s">
        <v>3786</v>
      </c>
      <c r="G180" t="s">
        <v>4257</v>
      </c>
    </row>
    <row r="181" spans="1:7" ht="11.25" customHeight="1">
      <c r="A181" t="s">
        <v>14</v>
      </c>
      <c r="B181" t="s">
        <v>4243</v>
      </c>
      <c r="C181" t="s">
        <v>4244</v>
      </c>
      <c r="D181" t="s">
        <v>4258</v>
      </c>
      <c r="E181" t="s">
        <v>4259</v>
      </c>
      <c r="F181" t="s">
        <v>3786</v>
      </c>
      <c r="G181" t="s">
        <v>4260</v>
      </c>
    </row>
    <row r="182" spans="1:7" ht="11.25" customHeight="1">
      <c r="A182" t="s">
        <v>14</v>
      </c>
      <c r="B182" t="s">
        <v>4243</v>
      </c>
      <c r="C182" t="s">
        <v>4244</v>
      </c>
      <c r="D182" t="s">
        <v>4261</v>
      </c>
      <c r="E182" t="s">
        <v>4262</v>
      </c>
      <c r="F182" t="s">
        <v>3786</v>
      </c>
      <c r="G182" t="s">
        <v>4263</v>
      </c>
    </row>
    <row r="183" spans="1:7" ht="11.25" customHeight="1">
      <c r="A183" t="s">
        <v>14</v>
      </c>
      <c r="B183" t="s">
        <v>4243</v>
      </c>
      <c r="C183" t="s">
        <v>4244</v>
      </c>
      <c r="D183" t="s">
        <v>4264</v>
      </c>
      <c r="E183" t="s">
        <v>4265</v>
      </c>
      <c r="F183" t="s">
        <v>3793</v>
      </c>
      <c r="G183" t="s">
        <v>4266</v>
      </c>
    </row>
    <row r="184" spans="1:7" ht="11.25" customHeight="1">
      <c r="A184" t="s">
        <v>14</v>
      </c>
      <c r="B184" t="s">
        <v>4243</v>
      </c>
      <c r="C184" t="s">
        <v>4244</v>
      </c>
      <c r="D184" t="s">
        <v>4267</v>
      </c>
      <c r="E184" t="s">
        <v>4268</v>
      </c>
      <c r="F184" t="s">
        <v>3786</v>
      </c>
      <c r="G184" t="s">
        <v>4269</v>
      </c>
    </row>
    <row r="185" spans="1:7" ht="11.25" customHeight="1">
      <c r="A185" t="s">
        <v>14</v>
      </c>
      <c r="B185" t="s">
        <v>4243</v>
      </c>
      <c r="C185" t="s">
        <v>4244</v>
      </c>
      <c r="D185" t="s">
        <v>4270</v>
      </c>
      <c r="E185" t="s">
        <v>4271</v>
      </c>
      <c r="F185" t="s">
        <v>3786</v>
      </c>
      <c r="G185" t="s">
        <v>4272</v>
      </c>
    </row>
    <row r="186" spans="1:7" ht="11.25" customHeight="1">
      <c r="A186" t="s">
        <v>14</v>
      </c>
      <c r="B186" t="s">
        <v>4243</v>
      </c>
      <c r="C186" t="s">
        <v>4244</v>
      </c>
      <c r="D186" t="s">
        <v>4273</v>
      </c>
      <c r="E186" t="s">
        <v>4274</v>
      </c>
      <c r="F186" t="s">
        <v>3786</v>
      </c>
      <c r="G186" t="s">
        <v>4275</v>
      </c>
    </row>
    <row r="187" spans="1:7" ht="11.25" customHeight="1">
      <c r="A187" t="s">
        <v>14</v>
      </c>
      <c r="B187" t="s">
        <v>4276</v>
      </c>
      <c r="C187" t="s">
        <v>4277</v>
      </c>
      <c r="D187" t="s">
        <v>4276</v>
      </c>
      <c r="E187" t="s">
        <v>4277</v>
      </c>
      <c r="F187" t="s">
        <v>3780</v>
      </c>
      <c r="G187" t="s">
        <v>4278</v>
      </c>
    </row>
    <row r="188" spans="1:7" ht="11.25" customHeight="1">
      <c r="A188" t="s">
        <v>14</v>
      </c>
      <c r="B188" t="s">
        <v>4279</v>
      </c>
      <c r="C188" t="s">
        <v>4280</v>
      </c>
      <c r="D188" t="s">
        <v>4281</v>
      </c>
      <c r="E188" t="s">
        <v>4282</v>
      </c>
      <c r="F188" t="s">
        <v>3786</v>
      </c>
      <c r="G188" t="s">
        <v>4283</v>
      </c>
    </row>
    <row r="189" spans="1:7" ht="11.25" customHeight="1">
      <c r="A189" t="s">
        <v>14</v>
      </c>
      <c r="B189" t="s">
        <v>4279</v>
      </c>
      <c r="C189" t="s">
        <v>4280</v>
      </c>
      <c r="D189" t="s">
        <v>4153</v>
      </c>
      <c r="E189" t="s">
        <v>4284</v>
      </c>
      <c r="F189" t="s">
        <v>3786</v>
      </c>
      <c r="G189" t="s">
        <v>4285</v>
      </c>
    </row>
    <row r="190" spans="1:7" ht="11.25" customHeight="1">
      <c r="A190" t="s">
        <v>14</v>
      </c>
      <c r="B190" t="s">
        <v>4279</v>
      </c>
      <c r="C190" t="s">
        <v>4280</v>
      </c>
      <c r="D190" t="s">
        <v>4279</v>
      </c>
      <c r="E190" t="s">
        <v>4280</v>
      </c>
      <c r="F190" t="s">
        <v>3783</v>
      </c>
      <c r="G190" t="s">
        <v>4286</v>
      </c>
    </row>
    <row r="191" spans="1:7" ht="11.25" customHeight="1">
      <c r="A191" t="s">
        <v>14</v>
      </c>
      <c r="B191" t="s">
        <v>4279</v>
      </c>
      <c r="C191" t="s">
        <v>4280</v>
      </c>
      <c r="D191" t="s">
        <v>4287</v>
      </c>
      <c r="E191" t="s">
        <v>4288</v>
      </c>
      <c r="F191" t="s">
        <v>3786</v>
      </c>
      <c r="G191" t="s">
        <v>4289</v>
      </c>
    </row>
    <row r="192" spans="1:7" ht="11.25" customHeight="1">
      <c r="A192" t="s">
        <v>14</v>
      </c>
      <c r="B192" t="s">
        <v>4279</v>
      </c>
      <c r="C192" t="s">
        <v>4280</v>
      </c>
      <c r="D192" t="s">
        <v>4290</v>
      </c>
      <c r="E192" t="s">
        <v>4291</v>
      </c>
      <c r="F192" t="s">
        <v>3786</v>
      </c>
      <c r="G192" t="s">
        <v>4292</v>
      </c>
    </row>
    <row r="193" spans="1:7" ht="11.25" customHeight="1">
      <c r="A193" t="s">
        <v>14</v>
      </c>
      <c r="B193" t="s">
        <v>4279</v>
      </c>
      <c r="C193" t="s">
        <v>4280</v>
      </c>
      <c r="D193" t="s">
        <v>4293</v>
      </c>
      <c r="E193" t="s">
        <v>4294</v>
      </c>
      <c r="F193" t="s">
        <v>3786</v>
      </c>
      <c r="G193" t="s">
        <v>4295</v>
      </c>
    </row>
    <row r="194" spans="1:7" ht="11.25" customHeight="1">
      <c r="A194" t="s">
        <v>14</v>
      </c>
      <c r="B194" t="s">
        <v>4279</v>
      </c>
      <c r="C194" t="s">
        <v>4280</v>
      </c>
      <c r="D194" t="s">
        <v>4296</v>
      </c>
      <c r="E194" t="s">
        <v>4297</v>
      </c>
      <c r="F194" t="s">
        <v>3786</v>
      </c>
      <c r="G194" t="s">
        <v>4298</v>
      </c>
    </row>
    <row r="195" spans="1:7" ht="11.25" customHeight="1">
      <c r="A195" t="s">
        <v>14</v>
      </c>
      <c r="B195" t="s">
        <v>4299</v>
      </c>
      <c r="C195" t="s">
        <v>4300</v>
      </c>
      <c r="D195" t="s">
        <v>4299</v>
      </c>
      <c r="E195" t="s">
        <v>4300</v>
      </c>
      <c r="F195" t="s">
        <v>4099</v>
      </c>
      <c r="G195" t="s">
        <v>4301</v>
      </c>
    </row>
    <row r="196" spans="1:7" ht="11.25" customHeight="1">
      <c r="A196" t="s">
        <v>14</v>
      </c>
      <c r="B196" t="s">
        <v>4302</v>
      </c>
      <c r="C196" t="s">
        <v>4303</v>
      </c>
      <c r="D196" t="s">
        <v>4302</v>
      </c>
      <c r="E196" t="s">
        <v>4303</v>
      </c>
      <c r="F196" t="s">
        <v>3780</v>
      </c>
      <c r="G196" t="s">
        <v>4304</v>
      </c>
    </row>
    <row r="197" spans="1:7" ht="11.25" customHeight="1">
      <c r="A197" t="s">
        <v>14</v>
      </c>
      <c r="B197" t="s">
        <v>4305</v>
      </c>
      <c r="C197" t="s">
        <v>4306</v>
      </c>
      <c r="D197" t="s">
        <v>4307</v>
      </c>
      <c r="E197" t="s">
        <v>4308</v>
      </c>
      <c r="F197" t="s">
        <v>3786</v>
      </c>
      <c r="G197" t="s">
        <v>4309</v>
      </c>
    </row>
    <row r="198" spans="1:7" ht="11.25" customHeight="1">
      <c r="A198" t="s">
        <v>14</v>
      </c>
      <c r="B198" t="s">
        <v>4305</v>
      </c>
      <c r="C198" t="s">
        <v>4306</v>
      </c>
      <c r="D198" t="s">
        <v>4310</v>
      </c>
      <c r="E198" t="s">
        <v>4311</v>
      </c>
      <c r="F198" t="s">
        <v>3786</v>
      </c>
      <c r="G198" t="s">
        <v>4312</v>
      </c>
    </row>
    <row r="199" spans="1:7" ht="11.25" customHeight="1">
      <c r="A199" t="s">
        <v>14</v>
      </c>
      <c r="B199" t="s">
        <v>4305</v>
      </c>
      <c r="C199" t="s">
        <v>4306</v>
      </c>
      <c r="D199" t="s">
        <v>4313</v>
      </c>
      <c r="E199" t="s">
        <v>4314</v>
      </c>
      <c r="F199" t="s">
        <v>3786</v>
      </c>
      <c r="G199" t="s">
        <v>4315</v>
      </c>
    </row>
    <row r="200" spans="1:7" ht="11.25" customHeight="1">
      <c r="A200" t="s">
        <v>14</v>
      </c>
      <c r="B200" t="s">
        <v>4305</v>
      </c>
      <c r="C200" t="s">
        <v>4306</v>
      </c>
      <c r="D200" t="s">
        <v>4316</v>
      </c>
      <c r="E200" t="s">
        <v>4317</v>
      </c>
      <c r="F200" t="s">
        <v>3838</v>
      </c>
      <c r="G200" t="s">
        <v>4318</v>
      </c>
    </row>
    <row r="201" spans="1:7" ht="11.25" customHeight="1">
      <c r="A201" t="s">
        <v>14</v>
      </c>
      <c r="B201" t="s">
        <v>4305</v>
      </c>
      <c r="C201" t="s">
        <v>4306</v>
      </c>
      <c r="D201" t="s">
        <v>4305</v>
      </c>
      <c r="E201" t="s">
        <v>4306</v>
      </c>
      <c r="F201" t="s">
        <v>3783</v>
      </c>
      <c r="G201" t="s">
        <v>4319</v>
      </c>
    </row>
    <row r="202" spans="1:7" ht="11.25" customHeight="1">
      <c r="A202" t="s">
        <v>14</v>
      </c>
      <c r="B202" t="s">
        <v>4305</v>
      </c>
      <c r="C202" t="s">
        <v>4306</v>
      </c>
      <c r="D202" t="s">
        <v>4320</v>
      </c>
      <c r="E202" t="s">
        <v>4321</v>
      </c>
      <c r="F202" t="s">
        <v>3786</v>
      </c>
      <c r="G202" t="s">
        <v>4322</v>
      </c>
    </row>
    <row r="203" spans="1:7" ht="11.25" customHeight="1">
      <c r="A203" t="s">
        <v>14</v>
      </c>
      <c r="B203" t="s">
        <v>4323</v>
      </c>
      <c r="C203" t="s">
        <v>4324</v>
      </c>
      <c r="D203" t="s">
        <v>4323</v>
      </c>
      <c r="E203" t="s">
        <v>4324</v>
      </c>
      <c r="F203" t="s">
        <v>3780</v>
      </c>
      <c r="G203" t="s">
        <v>4325</v>
      </c>
    </row>
    <row r="204" spans="1:7" ht="11.25" customHeight="1">
      <c r="A204" t="s">
        <v>14</v>
      </c>
      <c r="B204" t="s">
        <v>4326</v>
      </c>
      <c r="C204" t="s">
        <v>4327</v>
      </c>
      <c r="D204" t="s">
        <v>4328</v>
      </c>
      <c r="E204" t="s">
        <v>4329</v>
      </c>
      <c r="F204" t="s">
        <v>3786</v>
      </c>
      <c r="G204" t="s">
        <v>4330</v>
      </c>
    </row>
    <row r="205" spans="1:7" ht="11.25" customHeight="1">
      <c r="A205" t="s">
        <v>14</v>
      </c>
      <c r="B205" t="s">
        <v>4326</v>
      </c>
      <c r="C205" t="s">
        <v>4327</v>
      </c>
      <c r="D205" t="s">
        <v>4331</v>
      </c>
      <c r="E205" t="s">
        <v>4332</v>
      </c>
      <c r="F205" t="s">
        <v>3786</v>
      </c>
      <c r="G205" t="s">
        <v>4333</v>
      </c>
    </row>
    <row r="206" spans="1:7" ht="11.25" customHeight="1">
      <c r="A206" t="s">
        <v>14</v>
      </c>
      <c r="B206" t="s">
        <v>4326</v>
      </c>
      <c r="C206" t="s">
        <v>4327</v>
      </c>
      <c r="D206" t="s">
        <v>4334</v>
      </c>
      <c r="E206" t="s">
        <v>4335</v>
      </c>
      <c r="F206" t="s">
        <v>3786</v>
      </c>
      <c r="G206" t="s">
        <v>4336</v>
      </c>
    </row>
    <row r="207" spans="1:7" ht="11.25" customHeight="1">
      <c r="A207" t="s">
        <v>14</v>
      </c>
      <c r="B207" t="s">
        <v>4326</v>
      </c>
      <c r="C207" t="s">
        <v>4327</v>
      </c>
      <c r="D207" t="s">
        <v>4326</v>
      </c>
      <c r="E207" t="s">
        <v>4327</v>
      </c>
      <c r="F207" t="s">
        <v>3783</v>
      </c>
      <c r="G207" t="s">
        <v>4337</v>
      </c>
    </row>
    <row r="208" spans="1:7" ht="11.25" customHeight="1">
      <c r="A208" t="s">
        <v>14</v>
      </c>
      <c r="B208" t="s">
        <v>4326</v>
      </c>
      <c r="C208" t="s">
        <v>4327</v>
      </c>
      <c r="D208" t="s">
        <v>4338</v>
      </c>
      <c r="E208" t="s">
        <v>4339</v>
      </c>
      <c r="F208" t="s">
        <v>3793</v>
      </c>
      <c r="G208" t="s">
        <v>4340</v>
      </c>
    </row>
    <row r="209" spans="1:7" ht="11.25" customHeight="1">
      <c r="A209" t="s">
        <v>14</v>
      </c>
      <c r="B209" t="s">
        <v>4326</v>
      </c>
      <c r="C209" t="s">
        <v>4327</v>
      </c>
      <c r="D209" t="s">
        <v>4341</v>
      </c>
      <c r="E209" t="s">
        <v>4342</v>
      </c>
      <c r="F209" t="s">
        <v>3786</v>
      </c>
      <c r="G209" t="s">
        <v>4343</v>
      </c>
    </row>
    <row r="210" spans="1:7" ht="11.25" customHeight="1">
      <c r="A210" t="s">
        <v>14</v>
      </c>
      <c r="B210" t="s">
        <v>4326</v>
      </c>
      <c r="C210" t="s">
        <v>4327</v>
      </c>
      <c r="D210" t="s">
        <v>4344</v>
      </c>
      <c r="E210" t="s">
        <v>4345</v>
      </c>
      <c r="F210" t="s">
        <v>3786</v>
      </c>
      <c r="G210" t="s">
        <v>4346</v>
      </c>
    </row>
    <row r="211" spans="1:7" ht="11.25" customHeight="1">
      <c r="A211" t="s">
        <v>14</v>
      </c>
      <c r="B211" t="s">
        <v>4347</v>
      </c>
      <c r="C211" t="s">
        <v>4348</v>
      </c>
      <c r="D211" t="s">
        <v>4347</v>
      </c>
      <c r="E211" t="s">
        <v>4348</v>
      </c>
      <c r="F211" t="s">
        <v>3780</v>
      </c>
      <c r="G211" t="s">
        <v>4349</v>
      </c>
    </row>
    <row r="212" spans="1:7" ht="11.25" customHeight="1">
      <c r="A212" t="s">
        <v>14</v>
      </c>
      <c r="B212" t="s">
        <v>4350</v>
      </c>
      <c r="C212" t="s">
        <v>4351</v>
      </c>
      <c r="D212" t="s">
        <v>4352</v>
      </c>
      <c r="E212" t="s">
        <v>4353</v>
      </c>
      <c r="F212" t="s">
        <v>3786</v>
      </c>
      <c r="G212" t="s">
        <v>4354</v>
      </c>
    </row>
    <row r="213" spans="1:7" ht="11.25" customHeight="1">
      <c r="A213" t="s">
        <v>14</v>
      </c>
      <c r="B213" t="s">
        <v>4350</v>
      </c>
      <c r="C213" t="s">
        <v>4351</v>
      </c>
      <c r="D213" t="s">
        <v>4350</v>
      </c>
      <c r="E213" t="s">
        <v>4351</v>
      </c>
      <c r="F213" t="s">
        <v>3783</v>
      </c>
      <c r="G213" t="s">
        <v>4355</v>
      </c>
    </row>
    <row r="214" spans="1:7" ht="11.25" customHeight="1">
      <c r="A214" t="s">
        <v>14</v>
      </c>
      <c r="B214" t="s">
        <v>4350</v>
      </c>
      <c r="C214" t="s">
        <v>4351</v>
      </c>
      <c r="D214" t="s">
        <v>4356</v>
      </c>
      <c r="E214" t="s">
        <v>4357</v>
      </c>
      <c r="F214" t="s">
        <v>3786</v>
      </c>
      <c r="G214" t="s">
        <v>4358</v>
      </c>
    </row>
    <row r="215" spans="1:7" ht="11.25" customHeight="1">
      <c r="A215" t="s">
        <v>14</v>
      </c>
      <c r="B215" t="s">
        <v>4350</v>
      </c>
      <c r="C215" t="s">
        <v>4351</v>
      </c>
      <c r="D215" t="s">
        <v>4359</v>
      </c>
      <c r="E215" t="s">
        <v>4360</v>
      </c>
      <c r="F215" t="s">
        <v>3793</v>
      </c>
      <c r="G215" t="s">
        <v>4361</v>
      </c>
    </row>
    <row r="216" spans="1:7" ht="11.25" customHeight="1">
      <c r="A216" t="s">
        <v>14</v>
      </c>
      <c r="B216" t="s">
        <v>4350</v>
      </c>
      <c r="C216" t="s">
        <v>4351</v>
      </c>
      <c r="D216" t="s">
        <v>4362</v>
      </c>
      <c r="E216" t="s">
        <v>4363</v>
      </c>
      <c r="F216" t="s">
        <v>3793</v>
      </c>
      <c r="G216" t="s">
        <v>4364</v>
      </c>
    </row>
    <row r="217" spans="1:7" ht="11.25" customHeight="1">
      <c r="A217" t="s">
        <v>14</v>
      </c>
      <c r="B217" t="s">
        <v>4350</v>
      </c>
      <c r="C217" t="s">
        <v>4351</v>
      </c>
      <c r="D217" t="s">
        <v>4365</v>
      </c>
      <c r="E217" t="s">
        <v>4366</v>
      </c>
      <c r="F217" t="s">
        <v>3786</v>
      </c>
      <c r="G217" t="s">
        <v>4367</v>
      </c>
    </row>
    <row r="218" spans="1:7" ht="11.25" customHeight="1">
      <c r="A218" t="s">
        <v>14</v>
      </c>
      <c r="B218" t="s">
        <v>4350</v>
      </c>
      <c r="C218" t="s">
        <v>4351</v>
      </c>
      <c r="D218" t="s">
        <v>4368</v>
      </c>
      <c r="E218" t="s">
        <v>4369</v>
      </c>
      <c r="F218" t="s">
        <v>3786</v>
      </c>
      <c r="G218" t="s">
        <v>4370</v>
      </c>
    </row>
    <row r="219" spans="1:7" ht="11.25" customHeight="1">
      <c r="A219" t="s">
        <v>14</v>
      </c>
      <c r="B219" t="s">
        <v>4371</v>
      </c>
      <c r="C219" t="s">
        <v>4372</v>
      </c>
      <c r="D219" t="s">
        <v>4371</v>
      </c>
      <c r="E219" t="s">
        <v>4372</v>
      </c>
      <c r="F219" t="s">
        <v>3780</v>
      </c>
      <c r="G219" t="s">
        <v>4373</v>
      </c>
    </row>
    <row r="220" spans="1:7" ht="11.25" customHeight="1">
      <c r="A220" t="s">
        <v>14</v>
      </c>
      <c r="B220" t="s">
        <v>4374</v>
      </c>
      <c r="C220" t="s">
        <v>4375</v>
      </c>
      <c r="D220" t="s">
        <v>4376</v>
      </c>
      <c r="E220" t="s">
        <v>4377</v>
      </c>
      <c r="F220" t="s">
        <v>3786</v>
      </c>
      <c r="G220" t="s">
        <v>4378</v>
      </c>
    </row>
    <row r="221" spans="1:7" ht="11.25" customHeight="1">
      <c r="A221" t="s">
        <v>14</v>
      </c>
      <c r="B221" t="s">
        <v>4374</v>
      </c>
      <c r="C221" t="s">
        <v>4375</v>
      </c>
      <c r="D221" t="s">
        <v>4379</v>
      </c>
      <c r="E221" t="s">
        <v>4380</v>
      </c>
      <c r="F221" t="s">
        <v>3786</v>
      </c>
      <c r="G221" t="s">
        <v>4381</v>
      </c>
    </row>
    <row r="222" spans="1:7" ht="11.25" customHeight="1">
      <c r="A222" t="s">
        <v>14</v>
      </c>
      <c r="B222" t="s">
        <v>4374</v>
      </c>
      <c r="C222" t="s">
        <v>4375</v>
      </c>
      <c r="D222" t="s">
        <v>4382</v>
      </c>
      <c r="E222" t="s">
        <v>4383</v>
      </c>
      <c r="F222" t="s">
        <v>3786</v>
      </c>
      <c r="G222" t="s">
        <v>4384</v>
      </c>
    </row>
    <row r="223" spans="1:7" ht="11.25" customHeight="1">
      <c r="A223" t="s">
        <v>14</v>
      </c>
      <c r="B223" t="s">
        <v>4374</v>
      </c>
      <c r="C223" t="s">
        <v>4375</v>
      </c>
      <c r="D223" t="s">
        <v>4385</v>
      </c>
      <c r="E223" t="s">
        <v>4386</v>
      </c>
      <c r="F223" t="s">
        <v>3786</v>
      </c>
      <c r="G223" t="s">
        <v>4387</v>
      </c>
    </row>
    <row r="224" spans="1:7" ht="11.25" customHeight="1">
      <c r="A224" t="s">
        <v>14</v>
      </c>
      <c r="B224" t="s">
        <v>4374</v>
      </c>
      <c r="C224" t="s">
        <v>4375</v>
      </c>
      <c r="D224" t="s">
        <v>4374</v>
      </c>
      <c r="E224" t="s">
        <v>4375</v>
      </c>
      <c r="F224" t="s">
        <v>3783</v>
      </c>
      <c r="G224" t="s">
        <v>4388</v>
      </c>
    </row>
    <row r="225" spans="1:7" ht="11.25" customHeight="1">
      <c r="A225" t="s">
        <v>14</v>
      </c>
      <c r="B225" t="s">
        <v>4374</v>
      </c>
      <c r="C225" t="s">
        <v>4375</v>
      </c>
      <c r="D225" t="s">
        <v>4389</v>
      </c>
      <c r="E225" t="s">
        <v>4390</v>
      </c>
      <c r="F225" t="s">
        <v>3786</v>
      </c>
      <c r="G225" t="s">
        <v>4391</v>
      </c>
    </row>
    <row r="226" spans="1:7" ht="11.25" customHeight="1">
      <c r="A226" t="s">
        <v>14</v>
      </c>
      <c r="B226" t="s">
        <v>4374</v>
      </c>
      <c r="C226" t="s">
        <v>4375</v>
      </c>
      <c r="D226" t="s">
        <v>4392</v>
      </c>
      <c r="E226" t="s">
        <v>4393</v>
      </c>
      <c r="F226" t="s">
        <v>3786</v>
      </c>
      <c r="G226" t="s">
        <v>4394</v>
      </c>
    </row>
    <row r="227" spans="1:7" ht="11.25" customHeight="1">
      <c r="A227" t="s">
        <v>14</v>
      </c>
      <c r="B227" t="s">
        <v>4374</v>
      </c>
      <c r="C227" t="s">
        <v>4375</v>
      </c>
      <c r="D227" t="s">
        <v>4395</v>
      </c>
      <c r="E227" t="s">
        <v>4396</v>
      </c>
      <c r="F227" t="s">
        <v>3786</v>
      </c>
      <c r="G227" t="s">
        <v>4397</v>
      </c>
    </row>
    <row r="228" spans="1:7" ht="11.25" customHeight="1">
      <c r="A228" t="s">
        <v>14</v>
      </c>
      <c r="B228" t="s">
        <v>4374</v>
      </c>
      <c r="C228" t="s">
        <v>4375</v>
      </c>
      <c r="D228" t="s">
        <v>4398</v>
      </c>
      <c r="E228" t="s">
        <v>4399</v>
      </c>
      <c r="F228" t="s">
        <v>3786</v>
      </c>
      <c r="G228" t="s">
        <v>4400</v>
      </c>
    </row>
    <row r="229" spans="1:7" ht="11.25" customHeight="1">
      <c r="A229" t="s">
        <v>14</v>
      </c>
      <c r="B229" t="s">
        <v>4374</v>
      </c>
      <c r="C229" t="s">
        <v>4375</v>
      </c>
      <c r="D229" t="s">
        <v>4401</v>
      </c>
      <c r="E229" t="s">
        <v>4402</v>
      </c>
      <c r="F229" t="s">
        <v>3786</v>
      </c>
      <c r="G229" t="s">
        <v>4403</v>
      </c>
    </row>
    <row r="230" spans="1:7" ht="11.25" customHeight="1">
      <c r="A230" t="s">
        <v>14</v>
      </c>
      <c r="B230" t="s">
        <v>4374</v>
      </c>
      <c r="C230" t="s">
        <v>4375</v>
      </c>
      <c r="D230" t="s">
        <v>4404</v>
      </c>
      <c r="E230" t="s">
        <v>4405</v>
      </c>
      <c r="F230" t="s">
        <v>3786</v>
      </c>
      <c r="G230" t="s">
        <v>4406</v>
      </c>
    </row>
    <row r="231" spans="1:7" ht="11.25" customHeight="1">
      <c r="A231" t="s">
        <v>14</v>
      </c>
      <c r="B231" t="s">
        <v>4374</v>
      </c>
      <c r="C231" t="s">
        <v>4375</v>
      </c>
      <c r="D231" t="s">
        <v>4407</v>
      </c>
      <c r="E231" t="s">
        <v>4408</v>
      </c>
      <c r="F231" t="s">
        <v>3786</v>
      </c>
      <c r="G231" t="s">
        <v>4409</v>
      </c>
    </row>
    <row r="232" spans="1:7" ht="11.25" customHeight="1">
      <c r="A232" t="s">
        <v>14</v>
      </c>
      <c r="B232" t="s">
        <v>4374</v>
      </c>
      <c r="C232" t="s">
        <v>4375</v>
      </c>
      <c r="D232" t="s">
        <v>4410</v>
      </c>
      <c r="E232" t="s">
        <v>4411</v>
      </c>
      <c r="F232" t="s">
        <v>3786</v>
      </c>
      <c r="G232" t="s">
        <v>4412</v>
      </c>
    </row>
    <row r="233" spans="1:7" ht="11.25" customHeight="1">
      <c r="A233" t="s">
        <v>14</v>
      </c>
      <c r="B233" t="s">
        <v>100</v>
      </c>
      <c r="C233" t="s">
        <v>101</v>
      </c>
      <c r="D233" t="s">
        <v>100</v>
      </c>
      <c r="E233" t="s">
        <v>101</v>
      </c>
      <c r="F233" t="s">
        <v>3780</v>
      </c>
      <c r="G233" t="s">
        <v>99</v>
      </c>
    </row>
    <row r="234" spans="1:7" ht="11.25" customHeight="1">
      <c r="A234" t="s">
        <v>14</v>
      </c>
      <c r="B234" t="s">
        <v>4413</v>
      </c>
      <c r="C234" t="s">
        <v>4414</v>
      </c>
      <c r="D234" t="s">
        <v>4415</v>
      </c>
      <c r="E234" t="s">
        <v>4416</v>
      </c>
      <c r="F234" t="s">
        <v>3786</v>
      </c>
      <c r="G234" t="s">
        <v>4417</v>
      </c>
    </row>
    <row r="235" spans="1:7" ht="11.25" customHeight="1">
      <c r="A235" t="s">
        <v>14</v>
      </c>
      <c r="B235" t="s">
        <v>4413</v>
      </c>
      <c r="C235" t="s">
        <v>4414</v>
      </c>
      <c r="D235" t="s">
        <v>4418</v>
      </c>
      <c r="E235" t="s">
        <v>4419</v>
      </c>
      <c r="F235" t="s">
        <v>3786</v>
      </c>
      <c r="G235" t="s">
        <v>4420</v>
      </c>
    </row>
    <row r="236" spans="1:7" ht="11.25" customHeight="1">
      <c r="A236" t="s">
        <v>14</v>
      </c>
      <c r="B236" t="s">
        <v>4413</v>
      </c>
      <c r="C236" t="s">
        <v>4414</v>
      </c>
      <c r="D236" t="s">
        <v>4421</v>
      </c>
      <c r="E236" t="s">
        <v>4422</v>
      </c>
      <c r="F236" t="s">
        <v>3786</v>
      </c>
      <c r="G236" t="s">
        <v>4423</v>
      </c>
    </row>
    <row r="237" spans="1:7" ht="11.25" customHeight="1">
      <c r="A237" t="s">
        <v>14</v>
      </c>
      <c r="B237" t="s">
        <v>4413</v>
      </c>
      <c r="C237" t="s">
        <v>4414</v>
      </c>
      <c r="D237" t="s">
        <v>4424</v>
      </c>
      <c r="E237" t="s">
        <v>4425</v>
      </c>
      <c r="F237" t="s">
        <v>3786</v>
      </c>
      <c r="G237" t="s">
        <v>4426</v>
      </c>
    </row>
    <row r="238" spans="1:7" ht="11.25" customHeight="1">
      <c r="A238" t="s">
        <v>14</v>
      </c>
      <c r="B238" t="s">
        <v>4413</v>
      </c>
      <c r="C238" t="s">
        <v>4414</v>
      </c>
      <c r="D238" t="s">
        <v>4427</v>
      </c>
      <c r="E238" t="s">
        <v>4428</v>
      </c>
      <c r="F238" t="s">
        <v>3786</v>
      </c>
      <c r="G238" t="s">
        <v>4429</v>
      </c>
    </row>
    <row r="239" spans="1:7" ht="11.25" customHeight="1">
      <c r="A239" t="s">
        <v>14</v>
      </c>
      <c r="B239" t="s">
        <v>4413</v>
      </c>
      <c r="C239" t="s">
        <v>4414</v>
      </c>
      <c r="D239" t="s">
        <v>4430</v>
      </c>
      <c r="E239" t="s">
        <v>4431</v>
      </c>
      <c r="F239" t="s">
        <v>3838</v>
      </c>
      <c r="G239" t="s">
        <v>4432</v>
      </c>
    </row>
    <row r="240" spans="1:7" ht="11.25" customHeight="1">
      <c r="A240" t="s">
        <v>14</v>
      </c>
      <c r="B240" t="s">
        <v>4413</v>
      </c>
      <c r="C240" t="s">
        <v>4414</v>
      </c>
      <c r="D240" t="s">
        <v>4433</v>
      </c>
      <c r="E240" t="s">
        <v>4434</v>
      </c>
      <c r="F240" t="s">
        <v>3786</v>
      </c>
      <c r="G240" t="s">
        <v>4435</v>
      </c>
    </row>
    <row r="241" spans="1:7" ht="11.25" customHeight="1">
      <c r="A241" t="s">
        <v>14</v>
      </c>
      <c r="B241" t="s">
        <v>4413</v>
      </c>
      <c r="C241" t="s">
        <v>4414</v>
      </c>
      <c r="D241" t="s">
        <v>4413</v>
      </c>
      <c r="E241" t="s">
        <v>4414</v>
      </c>
      <c r="F241" t="s">
        <v>3783</v>
      </c>
      <c r="G241" t="s">
        <v>4436</v>
      </c>
    </row>
    <row r="242" spans="1:7" ht="11.25" customHeight="1">
      <c r="A242" t="s">
        <v>14</v>
      </c>
      <c r="B242" t="s">
        <v>4413</v>
      </c>
      <c r="C242" t="s">
        <v>4414</v>
      </c>
      <c r="D242" t="s">
        <v>4437</v>
      </c>
      <c r="E242" t="s">
        <v>4438</v>
      </c>
      <c r="F242" t="s">
        <v>3786</v>
      </c>
      <c r="G242" t="s">
        <v>4439</v>
      </c>
    </row>
    <row r="243" spans="1:7" ht="11.25" customHeight="1">
      <c r="A243" t="s">
        <v>14</v>
      </c>
      <c r="B243" t="s">
        <v>4413</v>
      </c>
      <c r="C243" t="s">
        <v>4414</v>
      </c>
      <c r="D243" t="s">
        <v>4440</v>
      </c>
      <c r="E243" t="s">
        <v>4441</v>
      </c>
      <c r="F243" t="s">
        <v>3786</v>
      </c>
      <c r="G243" t="s">
        <v>4442</v>
      </c>
    </row>
    <row r="244" spans="1:7" ht="11.25" customHeight="1">
      <c r="A244" t="s">
        <v>14</v>
      </c>
      <c r="B244" t="s">
        <v>4413</v>
      </c>
      <c r="C244" t="s">
        <v>4414</v>
      </c>
      <c r="D244" t="s">
        <v>4443</v>
      </c>
      <c r="E244" t="s">
        <v>4444</v>
      </c>
      <c r="F244" t="s">
        <v>3786</v>
      </c>
      <c r="G244" t="s">
        <v>4445</v>
      </c>
    </row>
    <row r="245" spans="1:7" ht="11.25" customHeight="1">
      <c r="A245" t="s">
        <v>14</v>
      </c>
      <c r="B245" t="s">
        <v>4413</v>
      </c>
      <c r="C245" t="s">
        <v>4414</v>
      </c>
      <c r="D245" t="s">
        <v>4446</v>
      </c>
      <c r="E245" t="s">
        <v>4447</v>
      </c>
      <c r="F245" t="s">
        <v>3786</v>
      </c>
      <c r="G245" t="s">
        <v>4448</v>
      </c>
    </row>
    <row r="246" spans="1:7" ht="11.25" customHeight="1">
      <c r="A246" t="s">
        <v>14</v>
      </c>
      <c r="B246" t="s">
        <v>4413</v>
      </c>
      <c r="C246" t="s">
        <v>4414</v>
      </c>
      <c r="D246" t="s">
        <v>4449</v>
      </c>
      <c r="E246" t="s">
        <v>4450</v>
      </c>
      <c r="F246" t="s">
        <v>3786</v>
      </c>
      <c r="G246" t="s">
        <v>4451</v>
      </c>
    </row>
    <row r="247" spans="1:7" ht="11.25" customHeight="1">
      <c r="A247" t="s">
        <v>14</v>
      </c>
      <c r="B247" t="s">
        <v>4413</v>
      </c>
      <c r="C247" t="s">
        <v>4414</v>
      </c>
      <c r="D247" t="s">
        <v>3828</v>
      </c>
      <c r="E247" t="s">
        <v>4452</v>
      </c>
      <c r="F247" t="s">
        <v>3786</v>
      </c>
      <c r="G247" t="s">
        <v>4453</v>
      </c>
    </row>
    <row r="248" spans="1:7" ht="11.25" customHeight="1">
      <c r="A248" t="s">
        <v>14</v>
      </c>
      <c r="B248" t="s">
        <v>4413</v>
      </c>
      <c r="C248" t="s">
        <v>4414</v>
      </c>
      <c r="D248" t="s">
        <v>4454</v>
      </c>
      <c r="E248" t="s">
        <v>4455</v>
      </c>
      <c r="F248" t="s">
        <v>3786</v>
      </c>
      <c r="G248" t="s">
        <v>4456</v>
      </c>
    </row>
    <row r="249" spans="1:7" ht="11.25" customHeight="1">
      <c r="A249" t="s">
        <v>14</v>
      </c>
      <c r="B249" t="s">
        <v>4457</v>
      </c>
      <c r="C249" t="s">
        <v>4458</v>
      </c>
      <c r="D249" t="s">
        <v>4459</v>
      </c>
      <c r="E249" t="s">
        <v>4460</v>
      </c>
      <c r="F249" t="s">
        <v>3838</v>
      </c>
      <c r="G249" t="s">
        <v>4461</v>
      </c>
    </row>
    <row r="250" spans="1:7" ht="11.25" customHeight="1">
      <c r="A250" t="s">
        <v>14</v>
      </c>
      <c r="B250" t="s">
        <v>4457</v>
      </c>
      <c r="C250" t="s">
        <v>4458</v>
      </c>
      <c r="D250" t="s">
        <v>4457</v>
      </c>
      <c r="E250" t="s">
        <v>4458</v>
      </c>
      <c r="F250" t="s">
        <v>3783</v>
      </c>
      <c r="G250" t="s">
        <v>4462</v>
      </c>
    </row>
    <row r="251" spans="1:7" ht="11.25" customHeight="1">
      <c r="A251" t="s">
        <v>14</v>
      </c>
      <c r="B251" t="s">
        <v>4457</v>
      </c>
      <c r="C251" t="s">
        <v>4458</v>
      </c>
      <c r="D251" t="s">
        <v>4463</v>
      </c>
      <c r="E251" t="s">
        <v>4464</v>
      </c>
      <c r="F251" t="s">
        <v>3786</v>
      </c>
      <c r="G251" t="s">
        <v>4465</v>
      </c>
    </row>
    <row r="252" spans="1:7" ht="11.25" customHeight="1">
      <c r="A252" t="s">
        <v>14</v>
      </c>
      <c r="B252" t="s">
        <v>4457</v>
      </c>
      <c r="C252" t="s">
        <v>4458</v>
      </c>
      <c r="D252" t="s">
        <v>4466</v>
      </c>
      <c r="E252" t="s">
        <v>4467</v>
      </c>
      <c r="F252" t="s">
        <v>3793</v>
      </c>
      <c r="G252" t="s">
        <v>4468</v>
      </c>
    </row>
    <row r="253" spans="1:7" ht="11.25" customHeight="1">
      <c r="A253" t="s">
        <v>14</v>
      </c>
      <c r="B253" t="s">
        <v>4457</v>
      </c>
      <c r="C253" t="s">
        <v>4458</v>
      </c>
      <c r="D253" t="s">
        <v>4469</v>
      </c>
      <c r="E253" t="s">
        <v>4470</v>
      </c>
      <c r="F253" t="s">
        <v>3793</v>
      </c>
      <c r="G253" t="s">
        <v>4471</v>
      </c>
    </row>
    <row r="254" spans="1:7" ht="11.25" customHeight="1">
      <c r="A254" t="s">
        <v>14</v>
      </c>
      <c r="B254" t="s">
        <v>4457</v>
      </c>
      <c r="C254" t="s">
        <v>4458</v>
      </c>
      <c r="D254" t="s">
        <v>4472</v>
      </c>
      <c r="E254" t="s">
        <v>4473</v>
      </c>
      <c r="F254" t="s">
        <v>3786</v>
      </c>
      <c r="G254" t="s">
        <v>4474</v>
      </c>
    </row>
    <row r="255" spans="1:7" ht="11.25" customHeight="1">
      <c r="A255" t="s">
        <v>14</v>
      </c>
      <c r="B255" t="s">
        <v>4457</v>
      </c>
      <c r="C255" t="s">
        <v>4458</v>
      </c>
      <c r="D255" t="s">
        <v>4475</v>
      </c>
      <c r="E255" t="s">
        <v>4476</v>
      </c>
      <c r="F255" t="s">
        <v>3786</v>
      </c>
      <c r="G255" t="s">
        <v>4477</v>
      </c>
    </row>
    <row r="256" spans="1:7" ht="11.25" customHeight="1">
      <c r="A256" t="s">
        <v>14</v>
      </c>
      <c r="B256" t="s">
        <v>4457</v>
      </c>
      <c r="C256" t="s">
        <v>4458</v>
      </c>
      <c r="D256" t="s">
        <v>4478</v>
      </c>
      <c r="E256" t="s">
        <v>4479</v>
      </c>
      <c r="F256" t="s">
        <v>3786</v>
      </c>
      <c r="G256" t="s">
        <v>4480</v>
      </c>
    </row>
    <row r="257" spans="1:7" ht="11.25" customHeight="1">
      <c r="A257" t="s">
        <v>14</v>
      </c>
      <c r="B257" t="s">
        <v>4481</v>
      </c>
      <c r="C257" t="s">
        <v>4482</v>
      </c>
      <c r="D257" t="s">
        <v>4481</v>
      </c>
      <c r="E257" t="s">
        <v>4482</v>
      </c>
      <c r="F257" t="s">
        <v>3780</v>
      </c>
      <c r="G257" t="s">
        <v>4483</v>
      </c>
    </row>
    <row r="258" spans="1:7" ht="11.25" customHeight="1">
      <c r="A258" t="s">
        <v>14</v>
      </c>
      <c r="B258" t="s">
        <v>4484</v>
      </c>
      <c r="C258" t="s">
        <v>4485</v>
      </c>
      <c r="D258" t="s">
        <v>4486</v>
      </c>
      <c r="E258" t="s">
        <v>4487</v>
      </c>
      <c r="F258" t="s">
        <v>3786</v>
      </c>
      <c r="G258" t="s">
        <v>4488</v>
      </c>
    </row>
    <row r="259" spans="1:7" ht="11.25" customHeight="1">
      <c r="A259" t="s">
        <v>14</v>
      </c>
      <c r="B259" t="s">
        <v>4484</v>
      </c>
      <c r="C259" t="s">
        <v>4485</v>
      </c>
      <c r="D259" t="s">
        <v>4489</v>
      </c>
      <c r="E259" t="s">
        <v>4490</v>
      </c>
      <c r="F259" t="s">
        <v>3786</v>
      </c>
      <c r="G259" t="s">
        <v>4491</v>
      </c>
    </row>
    <row r="260" spans="1:7" ht="11.25" customHeight="1">
      <c r="A260" t="s">
        <v>14</v>
      </c>
      <c r="B260" t="s">
        <v>4484</v>
      </c>
      <c r="C260" t="s">
        <v>4485</v>
      </c>
      <c r="D260" t="s">
        <v>4492</v>
      </c>
      <c r="E260" t="s">
        <v>4493</v>
      </c>
      <c r="F260" t="s">
        <v>3838</v>
      </c>
      <c r="G260" t="s">
        <v>4494</v>
      </c>
    </row>
    <row r="261" spans="1:7" ht="11.25" customHeight="1">
      <c r="A261" t="s">
        <v>14</v>
      </c>
      <c r="B261" t="s">
        <v>4484</v>
      </c>
      <c r="C261" t="s">
        <v>4485</v>
      </c>
      <c r="D261" t="s">
        <v>4495</v>
      </c>
      <c r="E261" t="s">
        <v>4496</v>
      </c>
      <c r="F261" t="s">
        <v>3786</v>
      </c>
      <c r="G261" t="s">
        <v>4497</v>
      </c>
    </row>
    <row r="262" spans="1:7" ht="11.25" customHeight="1">
      <c r="A262" t="s">
        <v>14</v>
      </c>
      <c r="B262" t="s">
        <v>4484</v>
      </c>
      <c r="C262" t="s">
        <v>4485</v>
      </c>
      <c r="D262" t="s">
        <v>3935</v>
      </c>
      <c r="E262" t="s">
        <v>4498</v>
      </c>
      <c r="F262" t="s">
        <v>3786</v>
      </c>
      <c r="G262" t="s">
        <v>4499</v>
      </c>
    </row>
    <row r="263" spans="1:7" ht="11.25" customHeight="1">
      <c r="A263" t="s">
        <v>14</v>
      </c>
      <c r="B263" t="s">
        <v>4484</v>
      </c>
      <c r="C263" t="s">
        <v>4485</v>
      </c>
      <c r="D263" t="s">
        <v>4484</v>
      </c>
      <c r="E263" t="s">
        <v>4485</v>
      </c>
      <c r="F263" t="s">
        <v>3783</v>
      </c>
      <c r="G263" t="s">
        <v>4500</v>
      </c>
    </row>
    <row r="264" spans="1:7" ht="11.25" customHeight="1">
      <c r="A264" t="s">
        <v>14</v>
      </c>
      <c r="B264" t="s">
        <v>4484</v>
      </c>
      <c r="C264" t="s">
        <v>4485</v>
      </c>
      <c r="D264" t="s">
        <v>4501</v>
      </c>
      <c r="E264" t="s">
        <v>4502</v>
      </c>
      <c r="F264" t="s">
        <v>3793</v>
      </c>
      <c r="G264" t="s">
        <v>4503</v>
      </c>
    </row>
    <row r="265" spans="1:7" ht="11.25" customHeight="1">
      <c r="A265" t="s">
        <v>14</v>
      </c>
      <c r="B265" t="s">
        <v>4484</v>
      </c>
      <c r="C265" t="s">
        <v>4485</v>
      </c>
      <c r="D265" t="s">
        <v>4504</v>
      </c>
      <c r="E265" t="s">
        <v>4505</v>
      </c>
      <c r="F265" t="s">
        <v>3786</v>
      </c>
      <c r="G265" t="s">
        <v>4506</v>
      </c>
    </row>
    <row r="266" spans="1:7" ht="11.25" customHeight="1">
      <c r="A266" t="s">
        <v>14</v>
      </c>
      <c r="B266" t="s">
        <v>4484</v>
      </c>
      <c r="C266" t="s">
        <v>4485</v>
      </c>
      <c r="D266" t="s">
        <v>4507</v>
      </c>
      <c r="E266" t="s">
        <v>4508</v>
      </c>
      <c r="F266" t="s">
        <v>3786</v>
      </c>
      <c r="G266" t="s">
        <v>4509</v>
      </c>
    </row>
    <row r="267" spans="1:7" ht="11.25" customHeight="1">
      <c r="A267" t="s">
        <v>14</v>
      </c>
      <c r="B267" t="s">
        <v>4510</v>
      </c>
      <c r="C267" t="s">
        <v>4511</v>
      </c>
      <c r="D267" t="s">
        <v>4510</v>
      </c>
      <c r="E267" t="s">
        <v>4511</v>
      </c>
      <c r="F267" t="s">
        <v>3780</v>
      </c>
      <c r="G267" t="s">
        <v>4512</v>
      </c>
    </row>
    <row r="268" spans="1:7" ht="11.25" customHeight="1">
      <c r="A268" t="s">
        <v>14</v>
      </c>
      <c r="B268" t="s">
        <v>4513</v>
      </c>
      <c r="C268" t="s">
        <v>4514</v>
      </c>
      <c r="D268" t="s">
        <v>4515</v>
      </c>
      <c r="E268" t="s">
        <v>4516</v>
      </c>
      <c r="F268" t="s">
        <v>3786</v>
      </c>
      <c r="G268" t="s">
        <v>4517</v>
      </c>
    </row>
    <row r="269" spans="1:7" ht="11.25" customHeight="1">
      <c r="A269" t="s">
        <v>14</v>
      </c>
      <c r="B269" t="s">
        <v>4513</v>
      </c>
      <c r="C269" t="s">
        <v>4514</v>
      </c>
      <c r="D269" t="s">
        <v>4518</v>
      </c>
      <c r="E269" t="s">
        <v>4519</v>
      </c>
      <c r="F269" t="s">
        <v>3786</v>
      </c>
      <c r="G269" t="s">
        <v>4520</v>
      </c>
    </row>
    <row r="270" spans="1:7" ht="11.25" customHeight="1">
      <c r="A270" t="s">
        <v>14</v>
      </c>
      <c r="B270" t="s">
        <v>4513</v>
      </c>
      <c r="C270" t="s">
        <v>4514</v>
      </c>
      <c r="D270" t="s">
        <v>4521</v>
      </c>
      <c r="E270" t="s">
        <v>4522</v>
      </c>
      <c r="F270" t="s">
        <v>3786</v>
      </c>
      <c r="G270" t="s">
        <v>4523</v>
      </c>
    </row>
    <row r="271" spans="1:7" ht="11.25" customHeight="1">
      <c r="A271" t="s">
        <v>14</v>
      </c>
      <c r="B271" t="s">
        <v>4513</v>
      </c>
      <c r="C271" t="s">
        <v>4514</v>
      </c>
      <c r="D271" t="s">
        <v>4524</v>
      </c>
      <c r="E271" t="s">
        <v>4525</v>
      </c>
      <c r="F271" t="s">
        <v>3838</v>
      </c>
      <c r="G271" t="s">
        <v>4526</v>
      </c>
    </row>
    <row r="272" spans="1:7" ht="11.25" customHeight="1">
      <c r="A272" t="s">
        <v>14</v>
      </c>
      <c r="B272" t="s">
        <v>4513</v>
      </c>
      <c r="C272" t="s">
        <v>4514</v>
      </c>
      <c r="D272" t="s">
        <v>4527</v>
      </c>
      <c r="E272" t="s">
        <v>4528</v>
      </c>
      <c r="F272" t="s">
        <v>3786</v>
      </c>
      <c r="G272" t="s">
        <v>4529</v>
      </c>
    </row>
    <row r="273" spans="1:7" ht="11.25" customHeight="1">
      <c r="A273" t="s">
        <v>14</v>
      </c>
      <c r="B273" t="s">
        <v>4513</v>
      </c>
      <c r="C273" t="s">
        <v>4514</v>
      </c>
      <c r="D273" t="s">
        <v>4530</v>
      </c>
      <c r="E273" t="s">
        <v>4531</v>
      </c>
      <c r="F273" t="s">
        <v>3786</v>
      </c>
      <c r="G273" t="s">
        <v>4532</v>
      </c>
    </row>
    <row r="274" spans="1:7" ht="11.25" customHeight="1">
      <c r="A274" t="s">
        <v>14</v>
      </c>
      <c r="B274" t="s">
        <v>4513</v>
      </c>
      <c r="C274" t="s">
        <v>4514</v>
      </c>
      <c r="D274" t="s">
        <v>4533</v>
      </c>
      <c r="E274" t="s">
        <v>4534</v>
      </c>
      <c r="F274" t="s">
        <v>3786</v>
      </c>
      <c r="G274" t="s">
        <v>4535</v>
      </c>
    </row>
    <row r="275" spans="1:7" ht="11.25" customHeight="1">
      <c r="A275" t="s">
        <v>14</v>
      </c>
      <c r="B275" t="s">
        <v>4513</v>
      </c>
      <c r="C275" t="s">
        <v>4514</v>
      </c>
      <c r="D275" t="s">
        <v>4536</v>
      </c>
      <c r="E275" t="s">
        <v>4537</v>
      </c>
      <c r="F275" t="s">
        <v>3786</v>
      </c>
      <c r="G275" t="s">
        <v>4538</v>
      </c>
    </row>
    <row r="276" spans="1:7" ht="11.25" customHeight="1">
      <c r="A276" t="s">
        <v>14</v>
      </c>
      <c r="B276" t="s">
        <v>4513</v>
      </c>
      <c r="C276" t="s">
        <v>4514</v>
      </c>
      <c r="D276" t="s">
        <v>4513</v>
      </c>
      <c r="E276" t="s">
        <v>4514</v>
      </c>
      <c r="F276" t="s">
        <v>3783</v>
      </c>
      <c r="G276" t="s">
        <v>4539</v>
      </c>
    </row>
    <row r="277" spans="1:7" ht="11.25" customHeight="1">
      <c r="A277" t="s">
        <v>14</v>
      </c>
      <c r="B277" t="s">
        <v>4513</v>
      </c>
      <c r="C277" t="s">
        <v>4514</v>
      </c>
      <c r="D277" t="s">
        <v>4540</v>
      </c>
      <c r="E277" t="s">
        <v>4541</v>
      </c>
      <c r="F277" t="s">
        <v>3786</v>
      </c>
      <c r="G277" t="s">
        <v>4542</v>
      </c>
    </row>
    <row r="278" spans="1:7" ht="11.25" customHeight="1">
      <c r="A278" t="s">
        <v>14</v>
      </c>
      <c r="B278" t="s">
        <v>4543</v>
      </c>
      <c r="C278" t="s">
        <v>4544</v>
      </c>
      <c r="D278" t="s">
        <v>4543</v>
      </c>
      <c r="E278" t="s">
        <v>4544</v>
      </c>
      <c r="F278" t="s">
        <v>4099</v>
      </c>
      <c r="G278" t="s">
        <v>4545</v>
      </c>
    </row>
    <row r="279" spans="1:7" ht="11.25" customHeight="1">
      <c r="A279" t="s">
        <v>14</v>
      </c>
      <c r="B279" t="s">
        <v>4546</v>
      </c>
      <c r="C279" t="s">
        <v>4547</v>
      </c>
      <c r="D279" t="s">
        <v>4548</v>
      </c>
      <c r="E279" t="s">
        <v>4549</v>
      </c>
      <c r="F279" t="s">
        <v>3786</v>
      </c>
      <c r="G279" t="s">
        <v>4550</v>
      </c>
    </row>
    <row r="280" spans="1:7" ht="11.25" customHeight="1">
      <c r="A280" t="s">
        <v>14</v>
      </c>
      <c r="B280" t="s">
        <v>4546</v>
      </c>
      <c r="C280" t="s">
        <v>4547</v>
      </c>
      <c r="D280" t="s">
        <v>4551</v>
      </c>
      <c r="E280" t="s">
        <v>4552</v>
      </c>
      <c r="F280" t="s">
        <v>3838</v>
      </c>
      <c r="G280" t="s">
        <v>4553</v>
      </c>
    </row>
    <row r="281" spans="1:7" ht="11.25" customHeight="1">
      <c r="A281" t="s">
        <v>14</v>
      </c>
      <c r="B281" t="s">
        <v>4546</v>
      </c>
      <c r="C281" t="s">
        <v>4547</v>
      </c>
      <c r="D281" t="s">
        <v>4546</v>
      </c>
      <c r="E281" t="s">
        <v>4547</v>
      </c>
      <c r="F281" t="s">
        <v>3783</v>
      </c>
      <c r="G281" t="s">
        <v>4554</v>
      </c>
    </row>
    <row r="282" spans="1:7" ht="11.25" customHeight="1">
      <c r="A282" t="s">
        <v>14</v>
      </c>
      <c r="B282" t="s">
        <v>4546</v>
      </c>
      <c r="C282" t="s">
        <v>4547</v>
      </c>
      <c r="D282" t="s">
        <v>4555</v>
      </c>
      <c r="E282" t="s">
        <v>4556</v>
      </c>
      <c r="F282" t="s">
        <v>3786</v>
      </c>
      <c r="G282" t="s">
        <v>4557</v>
      </c>
    </row>
    <row r="283" spans="1:7" ht="11.25" customHeight="1">
      <c r="A283" t="s">
        <v>14</v>
      </c>
      <c r="B283" t="s">
        <v>4546</v>
      </c>
      <c r="C283" t="s">
        <v>4547</v>
      </c>
      <c r="D283" t="s">
        <v>4558</v>
      </c>
      <c r="E283" t="s">
        <v>4559</v>
      </c>
      <c r="F283" t="s">
        <v>3786</v>
      </c>
      <c r="G283" t="s">
        <v>4560</v>
      </c>
    </row>
    <row r="284" spans="1:7" ht="11.25" customHeight="1">
      <c r="A284" t="s">
        <v>14</v>
      </c>
      <c r="B284" t="s">
        <v>4546</v>
      </c>
      <c r="C284" t="s">
        <v>4547</v>
      </c>
      <c r="D284" t="s">
        <v>4561</v>
      </c>
      <c r="E284" t="s">
        <v>4562</v>
      </c>
      <c r="F284" t="s">
        <v>3786</v>
      </c>
      <c r="G284" t="s">
        <v>4563</v>
      </c>
    </row>
    <row r="285" spans="1:7" ht="11.25" customHeight="1">
      <c r="A285" t="s">
        <v>14</v>
      </c>
      <c r="B285" t="s">
        <v>4564</v>
      </c>
      <c r="C285" t="s">
        <v>4565</v>
      </c>
      <c r="D285" t="s">
        <v>4564</v>
      </c>
      <c r="E285" t="s">
        <v>4565</v>
      </c>
      <c r="F285" t="s">
        <v>3780</v>
      </c>
      <c r="G285" t="s">
        <v>4566</v>
      </c>
    </row>
    <row r="286" spans="1:7" ht="11.25" customHeight="1">
      <c r="A286" t="s">
        <v>14</v>
      </c>
      <c r="B286" t="s">
        <v>4567</v>
      </c>
      <c r="C286" t="s">
        <v>4568</v>
      </c>
      <c r="D286" t="s">
        <v>4569</v>
      </c>
      <c r="E286" t="s">
        <v>4570</v>
      </c>
      <c r="F286" t="s">
        <v>3786</v>
      </c>
      <c r="G286" t="s">
        <v>4571</v>
      </c>
    </row>
    <row r="287" spans="1:7" ht="11.25" customHeight="1">
      <c r="A287" t="s">
        <v>14</v>
      </c>
      <c r="B287" t="s">
        <v>4567</v>
      </c>
      <c r="C287" t="s">
        <v>4568</v>
      </c>
      <c r="D287" t="s">
        <v>4572</v>
      </c>
      <c r="E287" t="s">
        <v>4573</v>
      </c>
      <c r="F287" t="s">
        <v>3786</v>
      </c>
      <c r="G287" t="s">
        <v>4574</v>
      </c>
    </row>
    <row r="288" spans="1:7" ht="11.25" customHeight="1">
      <c r="A288" t="s">
        <v>14</v>
      </c>
      <c r="B288" t="s">
        <v>4567</v>
      </c>
      <c r="C288" t="s">
        <v>4568</v>
      </c>
      <c r="D288" t="s">
        <v>4575</v>
      </c>
      <c r="E288" t="s">
        <v>4576</v>
      </c>
      <c r="F288" t="s">
        <v>3838</v>
      </c>
      <c r="G288" t="s">
        <v>4577</v>
      </c>
    </row>
    <row r="289" spans="1:7" ht="11.25" customHeight="1">
      <c r="A289" t="s">
        <v>14</v>
      </c>
      <c r="B289" t="s">
        <v>4567</v>
      </c>
      <c r="C289" t="s">
        <v>4568</v>
      </c>
      <c r="D289" t="s">
        <v>4578</v>
      </c>
      <c r="E289" t="s">
        <v>4579</v>
      </c>
      <c r="F289" t="s">
        <v>3838</v>
      </c>
      <c r="G289" t="s">
        <v>4580</v>
      </c>
    </row>
    <row r="290" spans="1:7" ht="11.25" customHeight="1">
      <c r="A290" t="s">
        <v>14</v>
      </c>
      <c r="B290" t="s">
        <v>4567</v>
      </c>
      <c r="C290" t="s">
        <v>4568</v>
      </c>
      <c r="D290" t="s">
        <v>4581</v>
      </c>
      <c r="E290" t="s">
        <v>4582</v>
      </c>
      <c r="F290" t="s">
        <v>3838</v>
      </c>
      <c r="G290" t="s">
        <v>4583</v>
      </c>
    </row>
    <row r="291" spans="1:7" ht="11.25" customHeight="1">
      <c r="A291" t="s">
        <v>14</v>
      </c>
      <c r="B291" t="s">
        <v>4567</v>
      </c>
      <c r="C291" t="s">
        <v>4568</v>
      </c>
      <c r="D291" t="s">
        <v>4584</v>
      </c>
      <c r="E291" t="s">
        <v>4585</v>
      </c>
      <c r="F291" t="s">
        <v>3786</v>
      </c>
      <c r="G291" t="s">
        <v>4586</v>
      </c>
    </row>
    <row r="292" spans="1:7" ht="11.25" customHeight="1">
      <c r="A292" t="s">
        <v>14</v>
      </c>
      <c r="B292" t="s">
        <v>4567</v>
      </c>
      <c r="C292" t="s">
        <v>4568</v>
      </c>
      <c r="D292" t="s">
        <v>4587</v>
      </c>
      <c r="E292" t="s">
        <v>4588</v>
      </c>
      <c r="F292" t="s">
        <v>3786</v>
      </c>
      <c r="G292" t="s">
        <v>4589</v>
      </c>
    </row>
    <row r="293" spans="1:7" ht="11.25" customHeight="1">
      <c r="A293" t="s">
        <v>14</v>
      </c>
      <c r="B293" t="s">
        <v>4567</v>
      </c>
      <c r="C293" t="s">
        <v>4568</v>
      </c>
      <c r="D293" t="s">
        <v>4590</v>
      </c>
      <c r="E293" t="s">
        <v>4591</v>
      </c>
      <c r="F293" t="s">
        <v>3786</v>
      </c>
      <c r="G293" t="s">
        <v>4592</v>
      </c>
    </row>
    <row r="294" spans="1:7" ht="11.25" customHeight="1">
      <c r="A294" t="s">
        <v>14</v>
      </c>
      <c r="B294" t="s">
        <v>4567</v>
      </c>
      <c r="C294" t="s">
        <v>4568</v>
      </c>
      <c r="D294" t="s">
        <v>4567</v>
      </c>
      <c r="E294" t="s">
        <v>4568</v>
      </c>
      <c r="F294" t="s">
        <v>3783</v>
      </c>
      <c r="G294" t="s">
        <v>4593</v>
      </c>
    </row>
    <row r="295" spans="1:7" ht="11.25" customHeight="1">
      <c r="A295" t="s">
        <v>14</v>
      </c>
      <c r="B295" t="s">
        <v>4567</v>
      </c>
      <c r="C295" t="s">
        <v>4568</v>
      </c>
      <c r="D295" t="s">
        <v>4594</v>
      </c>
      <c r="E295" t="s">
        <v>4595</v>
      </c>
      <c r="F295" t="s">
        <v>3793</v>
      </c>
      <c r="G295" t="s">
        <v>4596</v>
      </c>
    </row>
    <row r="296" spans="1:7" ht="11.25" customHeight="1">
      <c r="A296" t="s">
        <v>14</v>
      </c>
      <c r="B296" t="s">
        <v>4567</v>
      </c>
      <c r="C296" t="s">
        <v>4568</v>
      </c>
      <c r="D296" t="s">
        <v>4597</v>
      </c>
      <c r="E296" t="s">
        <v>4598</v>
      </c>
      <c r="F296" t="s">
        <v>3786</v>
      </c>
      <c r="G296" t="s">
        <v>4599</v>
      </c>
    </row>
    <row r="297" spans="1:7" ht="11.25" customHeight="1">
      <c r="A297" t="s">
        <v>14</v>
      </c>
      <c r="B297" t="s">
        <v>4600</v>
      </c>
      <c r="C297" t="s">
        <v>4601</v>
      </c>
      <c r="D297" t="s">
        <v>4600</v>
      </c>
      <c r="E297" t="s">
        <v>4601</v>
      </c>
      <c r="F297" t="s">
        <v>4099</v>
      </c>
      <c r="G297" t="s">
        <v>4602</v>
      </c>
    </row>
    <row r="298" spans="1:7" ht="11.25" customHeight="1">
      <c r="A298" t="s">
        <v>14</v>
      </c>
      <c r="B298" t="s">
        <v>4603</v>
      </c>
      <c r="C298" t="s">
        <v>4604</v>
      </c>
      <c r="D298" t="s">
        <v>4605</v>
      </c>
      <c r="E298" t="s">
        <v>4606</v>
      </c>
      <c r="F298" t="s">
        <v>3838</v>
      </c>
      <c r="G298" t="s">
        <v>4607</v>
      </c>
    </row>
    <row r="299" spans="1:7" ht="11.25" customHeight="1">
      <c r="A299" t="s">
        <v>14</v>
      </c>
      <c r="B299" t="s">
        <v>4603</v>
      </c>
      <c r="C299" t="s">
        <v>4604</v>
      </c>
      <c r="D299" t="s">
        <v>4608</v>
      </c>
      <c r="E299" t="s">
        <v>4609</v>
      </c>
      <c r="F299" t="s">
        <v>3786</v>
      </c>
      <c r="G299" t="s">
        <v>4610</v>
      </c>
    </row>
    <row r="300" spans="1:7" ht="11.25" customHeight="1">
      <c r="A300" t="s">
        <v>14</v>
      </c>
      <c r="B300" t="s">
        <v>4603</v>
      </c>
      <c r="C300" t="s">
        <v>4604</v>
      </c>
      <c r="D300" t="s">
        <v>4611</v>
      </c>
      <c r="E300" t="s">
        <v>4612</v>
      </c>
      <c r="F300" t="s">
        <v>3786</v>
      </c>
      <c r="G300" t="s">
        <v>4613</v>
      </c>
    </row>
    <row r="301" spans="1:7" ht="11.25" customHeight="1">
      <c r="A301" t="s">
        <v>14</v>
      </c>
      <c r="B301" t="s">
        <v>4603</v>
      </c>
      <c r="C301" t="s">
        <v>4604</v>
      </c>
      <c r="D301" t="s">
        <v>4614</v>
      </c>
      <c r="E301" t="s">
        <v>4615</v>
      </c>
      <c r="F301" t="s">
        <v>3786</v>
      </c>
      <c r="G301" t="s">
        <v>4616</v>
      </c>
    </row>
    <row r="302" spans="1:7" ht="11.25" customHeight="1">
      <c r="A302" t="s">
        <v>14</v>
      </c>
      <c r="B302" t="s">
        <v>4603</v>
      </c>
      <c r="C302" t="s">
        <v>4604</v>
      </c>
      <c r="D302" t="s">
        <v>4617</v>
      </c>
      <c r="E302" t="s">
        <v>4618</v>
      </c>
      <c r="F302" t="s">
        <v>3786</v>
      </c>
      <c r="G302" t="s">
        <v>4619</v>
      </c>
    </row>
    <row r="303" spans="1:7" ht="11.25" customHeight="1">
      <c r="A303" t="s">
        <v>14</v>
      </c>
      <c r="B303" t="s">
        <v>4603</v>
      </c>
      <c r="C303" t="s">
        <v>4604</v>
      </c>
      <c r="D303" t="s">
        <v>4603</v>
      </c>
      <c r="E303" t="s">
        <v>4604</v>
      </c>
      <c r="F303" t="s">
        <v>3783</v>
      </c>
      <c r="G303" t="s">
        <v>4620</v>
      </c>
    </row>
    <row r="304" spans="1:7" ht="11.25" customHeight="1">
      <c r="A304" t="s">
        <v>14</v>
      </c>
      <c r="B304" t="s">
        <v>4603</v>
      </c>
      <c r="C304" t="s">
        <v>4604</v>
      </c>
      <c r="D304" t="s">
        <v>4621</v>
      </c>
      <c r="E304" t="s">
        <v>4622</v>
      </c>
      <c r="F304" t="s">
        <v>3786</v>
      </c>
      <c r="G304" t="s">
        <v>4623</v>
      </c>
    </row>
    <row r="305" spans="1:7" ht="11.25" customHeight="1">
      <c r="A305" t="s">
        <v>14</v>
      </c>
      <c r="B305" t="s">
        <v>4603</v>
      </c>
      <c r="C305" t="s">
        <v>4604</v>
      </c>
      <c r="D305" t="s">
        <v>4624</v>
      </c>
      <c r="E305" t="s">
        <v>4625</v>
      </c>
      <c r="F305" t="s">
        <v>3786</v>
      </c>
      <c r="G305" t="s">
        <v>4626</v>
      </c>
    </row>
    <row r="306" spans="1:7" ht="11.25" customHeight="1">
      <c r="A306" t="s">
        <v>14</v>
      </c>
      <c r="B306" t="s">
        <v>4603</v>
      </c>
      <c r="C306" t="s">
        <v>4604</v>
      </c>
      <c r="D306" t="s">
        <v>4627</v>
      </c>
      <c r="E306" t="s">
        <v>4628</v>
      </c>
      <c r="F306" t="s">
        <v>3786</v>
      </c>
      <c r="G306" t="s">
        <v>4629</v>
      </c>
    </row>
    <row r="307" spans="1:7" ht="11.25" customHeight="1">
      <c r="A307" t="s">
        <v>14</v>
      </c>
      <c r="B307" t="s">
        <v>4630</v>
      </c>
      <c r="C307" t="s">
        <v>4631</v>
      </c>
      <c r="D307" t="s">
        <v>4630</v>
      </c>
      <c r="E307" t="s">
        <v>4631</v>
      </c>
      <c r="F307" t="s">
        <v>3780</v>
      </c>
      <c r="G307" t="s">
        <v>4632</v>
      </c>
    </row>
    <row r="308" spans="1:7" ht="11.25" customHeight="1">
      <c r="A308" t="s">
        <v>14</v>
      </c>
      <c r="B308" t="s">
        <v>4633</v>
      </c>
      <c r="C308" t="s">
        <v>4634</v>
      </c>
      <c r="D308" t="s">
        <v>4635</v>
      </c>
      <c r="E308" t="s">
        <v>4636</v>
      </c>
      <c r="F308" t="s">
        <v>3786</v>
      </c>
      <c r="G308" t="s">
        <v>4637</v>
      </c>
    </row>
    <row r="309" spans="1:7" ht="11.25" customHeight="1">
      <c r="A309" t="s">
        <v>14</v>
      </c>
      <c r="B309" t="s">
        <v>4633</v>
      </c>
      <c r="C309" t="s">
        <v>4634</v>
      </c>
      <c r="D309" t="s">
        <v>4638</v>
      </c>
      <c r="E309" t="s">
        <v>4639</v>
      </c>
      <c r="F309" t="s">
        <v>3786</v>
      </c>
      <c r="G309" t="s">
        <v>4640</v>
      </c>
    </row>
    <row r="310" spans="1:7" ht="11.25" customHeight="1">
      <c r="A310" t="s">
        <v>14</v>
      </c>
      <c r="B310" t="s">
        <v>4633</v>
      </c>
      <c r="C310" t="s">
        <v>4634</v>
      </c>
      <c r="D310" t="s">
        <v>4641</v>
      </c>
      <c r="E310" t="s">
        <v>4642</v>
      </c>
      <c r="F310" t="s">
        <v>3786</v>
      </c>
      <c r="G310" t="s">
        <v>4643</v>
      </c>
    </row>
    <row r="311" spans="1:7" ht="11.25" customHeight="1">
      <c r="A311" t="s">
        <v>14</v>
      </c>
      <c r="B311" t="s">
        <v>4633</v>
      </c>
      <c r="C311" t="s">
        <v>4634</v>
      </c>
      <c r="D311" t="s">
        <v>4109</v>
      </c>
      <c r="E311" t="s">
        <v>4644</v>
      </c>
      <c r="F311" t="s">
        <v>3786</v>
      </c>
      <c r="G311" t="s">
        <v>4645</v>
      </c>
    </row>
    <row r="312" spans="1:7" ht="11.25" customHeight="1">
      <c r="A312" t="s">
        <v>14</v>
      </c>
      <c r="B312" t="s">
        <v>4633</v>
      </c>
      <c r="C312" t="s">
        <v>4634</v>
      </c>
      <c r="D312" t="s">
        <v>4646</v>
      </c>
      <c r="E312" t="s">
        <v>4647</v>
      </c>
      <c r="F312" t="s">
        <v>3786</v>
      </c>
      <c r="G312" t="s">
        <v>4648</v>
      </c>
    </row>
    <row r="313" spans="1:7" ht="11.25" customHeight="1">
      <c r="A313" t="s">
        <v>14</v>
      </c>
      <c r="B313" t="s">
        <v>4633</v>
      </c>
      <c r="C313" t="s">
        <v>4634</v>
      </c>
      <c r="D313" t="s">
        <v>4392</v>
      </c>
      <c r="E313" t="s">
        <v>4649</v>
      </c>
      <c r="F313" t="s">
        <v>3786</v>
      </c>
      <c r="G313" t="s">
        <v>4650</v>
      </c>
    </row>
    <row r="314" spans="1:7" ht="11.25" customHeight="1">
      <c r="A314" t="s">
        <v>14</v>
      </c>
      <c r="B314" t="s">
        <v>4633</v>
      </c>
      <c r="C314" t="s">
        <v>4634</v>
      </c>
      <c r="D314" t="s">
        <v>4651</v>
      </c>
      <c r="E314" t="s">
        <v>4652</v>
      </c>
      <c r="F314" t="s">
        <v>3786</v>
      </c>
      <c r="G314" t="s">
        <v>4653</v>
      </c>
    </row>
    <row r="315" spans="1:7" ht="11.25" customHeight="1">
      <c r="A315" t="s">
        <v>14</v>
      </c>
      <c r="B315" t="s">
        <v>4633</v>
      </c>
      <c r="C315" t="s">
        <v>4634</v>
      </c>
      <c r="D315" t="s">
        <v>4654</v>
      </c>
      <c r="E315" t="s">
        <v>4655</v>
      </c>
      <c r="F315" t="s">
        <v>3786</v>
      </c>
      <c r="G315" t="s">
        <v>4656</v>
      </c>
    </row>
    <row r="316" spans="1:7" ht="11.25" customHeight="1">
      <c r="A316" t="s">
        <v>14</v>
      </c>
      <c r="B316" t="s">
        <v>4633</v>
      </c>
      <c r="C316" t="s">
        <v>4634</v>
      </c>
      <c r="D316" t="s">
        <v>4657</v>
      </c>
      <c r="E316" t="s">
        <v>4658</v>
      </c>
      <c r="F316" t="s">
        <v>3786</v>
      </c>
      <c r="G316" t="s">
        <v>4659</v>
      </c>
    </row>
    <row r="317" spans="1:7" ht="11.25" customHeight="1">
      <c r="A317" t="s">
        <v>14</v>
      </c>
      <c r="B317" t="s">
        <v>4633</v>
      </c>
      <c r="C317" t="s">
        <v>4634</v>
      </c>
      <c r="D317" t="s">
        <v>4633</v>
      </c>
      <c r="E317" t="s">
        <v>4634</v>
      </c>
      <c r="F317" t="s">
        <v>3783</v>
      </c>
      <c r="G317" t="s">
        <v>4660</v>
      </c>
    </row>
    <row r="318" spans="1:7" ht="11.25" customHeight="1">
      <c r="A318" t="s">
        <v>14</v>
      </c>
      <c r="B318" t="s">
        <v>4633</v>
      </c>
      <c r="C318" t="s">
        <v>4634</v>
      </c>
      <c r="D318" t="s">
        <v>4661</v>
      </c>
      <c r="E318" t="s">
        <v>4662</v>
      </c>
      <c r="F318" t="s">
        <v>3793</v>
      </c>
      <c r="G318" t="s">
        <v>4663</v>
      </c>
    </row>
    <row r="319" spans="1:7" ht="11.25" customHeight="1">
      <c r="A319" t="s">
        <v>14</v>
      </c>
      <c r="B319" t="s">
        <v>4633</v>
      </c>
      <c r="C319" t="s">
        <v>4634</v>
      </c>
      <c r="D319" t="s">
        <v>4664</v>
      </c>
      <c r="E319" t="s">
        <v>4665</v>
      </c>
      <c r="F319" t="s">
        <v>3786</v>
      </c>
      <c r="G319" t="s">
        <v>4666</v>
      </c>
    </row>
    <row r="320" spans="1:7" ht="11.25" customHeight="1">
      <c r="A320" t="s">
        <v>14</v>
      </c>
      <c r="B320" t="s">
        <v>4633</v>
      </c>
      <c r="C320" t="s">
        <v>4634</v>
      </c>
      <c r="D320" t="s">
        <v>4667</v>
      </c>
      <c r="E320" t="s">
        <v>4668</v>
      </c>
      <c r="F320" t="s">
        <v>3786</v>
      </c>
      <c r="G320" t="s">
        <v>4669</v>
      </c>
    </row>
    <row r="321" spans="1:7" ht="11.25" customHeight="1">
      <c r="A321" t="s">
        <v>14</v>
      </c>
      <c r="B321" t="s">
        <v>4670</v>
      </c>
      <c r="C321" t="s">
        <v>4671</v>
      </c>
      <c r="D321" t="s">
        <v>4670</v>
      </c>
      <c r="E321" t="s">
        <v>4671</v>
      </c>
      <c r="F321" t="s">
        <v>3780</v>
      </c>
      <c r="G321" t="s">
        <v>4672</v>
      </c>
    </row>
    <row r="322" spans="1:7" ht="11.25" customHeight="1">
      <c r="A322" t="s">
        <v>14</v>
      </c>
      <c r="B322" t="s">
        <v>4673</v>
      </c>
      <c r="C322" t="s">
        <v>4674</v>
      </c>
      <c r="D322" t="s">
        <v>4675</v>
      </c>
      <c r="E322" t="s">
        <v>4676</v>
      </c>
      <c r="F322" t="s">
        <v>3786</v>
      </c>
      <c r="G322" t="s">
        <v>4677</v>
      </c>
    </row>
    <row r="323" spans="1:7" ht="11.25" customHeight="1">
      <c r="A323" t="s">
        <v>14</v>
      </c>
      <c r="B323" t="s">
        <v>4673</v>
      </c>
      <c r="C323" t="s">
        <v>4674</v>
      </c>
      <c r="D323" t="s">
        <v>4678</v>
      </c>
      <c r="E323" t="s">
        <v>4679</v>
      </c>
      <c r="F323" t="s">
        <v>3786</v>
      </c>
      <c r="G323" t="s">
        <v>4680</v>
      </c>
    </row>
    <row r="324" spans="1:7" ht="11.25" customHeight="1">
      <c r="A324" t="s">
        <v>14</v>
      </c>
      <c r="B324" t="s">
        <v>4673</v>
      </c>
      <c r="C324" t="s">
        <v>4674</v>
      </c>
      <c r="D324" t="s">
        <v>4681</v>
      </c>
      <c r="E324" t="s">
        <v>4682</v>
      </c>
      <c r="F324" t="s">
        <v>3786</v>
      </c>
      <c r="G324" t="s">
        <v>4683</v>
      </c>
    </row>
    <row r="325" spans="1:7" ht="11.25" customHeight="1">
      <c r="A325" t="s">
        <v>14</v>
      </c>
      <c r="B325" t="s">
        <v>4673</v>
      </c>
      <c r="C325" t="s">
        <v>4674</v>
      </c>
      <c r="D325" t="s">
        <v>4389</v>
      </c>
      <c r="E325" t="s">
        <v>4684</v>
      </c>
      <c r="F325" t="s">
        <v>3786</v>
      </c>
      <c r="G325" t="s">
        <v>4685</v>
      </c>
    </row>
    <row r="326" spans="1:7" ht="11.25" customHeight="1">
      <c r="A326" t="s">
        <v>14</v>
      </c>
      <c r="B326" t="s">
        <v>4673</v>
      </c>
      <c r="C326" t="s">
        <v>4674</v>
      </c>
      <c r="D326" t="s">
        <v>4686</v>
      </c>
      <c r="E326" t="s">
        <v>4687</v>
      </c>
      <c r="F326" t="s">
        <v>3786</v>
      </c>
      <c r="G326" t="s">
        <v>4688</v>
      </c>
    </row>
    <row r="327" spans="1:7" ht="11.25" customHeight="1">
      <c r="A327" t="s">
        <v>14</v>
      </c>
      <c r="B327" t="s">
        <v>4673</v>
      </c>
      <c r="C327" t="s">
        <v>4674</v>
      </c>
      <c r="D327" t="s">
        <v>4689</v>
      </c>
      <c r="E327" t="s">
        <v>4690</v>
      </c>
      <c r="F327" t="s">
        <v>3786</v>
      </c>
      <c r="G327" t="s">
        <v>4691</v>
      </c>
    </row>
    <row r="328" spans="1:7" ht="11.25" customHeight="1">
      <c r="A328" t="s">
        <v>14</v>
      </c>
      <c r="B328" t="s">
        <v>4673</v>
      </c>
      <c r="C328" t="s">
        <v>4674</v>
      </c>
      <c r="D328" t="s">
        <v>4673</v>
      </c>
      <c r="E328" t="s">
        <v>4674</v>
      </c>
      <c r="F328" t="s">
        <v>3783</v>
      </c>
      <c r="G328" t="s">
        <v>4692</v>
      </c>
    </row>
    <row r="329" spans="1:7" ht="11.25" customHeight="1">
      <c r="A329" t="s">
        <v>14</v>
      </c>
      <c r="B329" t="s">
        <v>4673</v>
      </c>
      <c r="C329" t="s">
        <v>4674</v>
      </c>
      <c r="D329" t="s">
        <v>4693</v>
      </c>
      <c r="E329" t="s">
        <v>4694</v>
      </c>
      <c r="F329" t="s">
        <v>3786</v>
      </c>
      <c r="G329" t="s">
        <v>4695</v>
      </c>
    </row>
    <row r="330" spans="1:7" ht="11.25" customHeight="1">
      <c r="A330" t="s">
        <v>14</v>
      </c>
      <c r="B330" t="s">
        <v>4673</v>
      </c>
      <c r="C330" t="s">
        <v>4674</v>
      </c>
      <c r="D330" t="s">
        <v>4696</v>
      </c>
      <c r="E330" t="s">
        <v>4697</v>
      </c>
      <c r="F330" t="s">
        <v>3786</v>
      </c>
      <c r="G330" t="s">
        <v>4698</v>
      </c>
    </row>
    <row r="331" spans="1:7" ht="11.25" customHeight="1">
      <c r="A331" t="s">
        <v>14</v>
      </c>
      <c r="B331" t="s">
        <v>4673</v>
      </c>
      <c r="C331" t="s">
        <v>4674</v>
      </c>
      <c r="D331" t="s">
        <v>4699</v>
      </c>
      <c r="E331" t="s">
        <v>4700</v>
      </c>
      <c r="F331" t="s">
        <v>3786</v>
      </c>
      <c r="G331" t="s">
        <v>4701</v>
      </c>
    </row>
    <row r="332" spans="1:7" ht="11.25" customHeight="1">
      <c r="A332" t="s">
        <v>14</v>
      </c>
      <c r="B332" t="s">
        <v>4702</v>
      </c>
      <c r="C332" t="s">
        <v>4703</v>
      </c>
      <c r="D332" t="s">
        <v>4702</v>
      </c>
      <c r="E332" t="s">
        <v>4703</v>
      </c>
      <c r="F332" t="s">
        <v>4099</v>
      </c>
      <c r="G332" t="s">
        <v>4704</v>
      </c>
    </row>
    <row r="333" spans="1:7" ht="11.25" customHeight="1">
      <c r="A333" t="s">
        <v>14</v>
      </c>
      <c r="B333" t="s">
        <v>4705</v>
      </c>
      <c r="C333" t="s">
        <v>4706</v>
      </c>
      <c r="D333" t="s">
        <v>4705</v>
      </c>
      <c r="E333" t="s">
        <v>4706</v>
      </c>
      <c r="F333" t="s">
        <v>3780</v>
      </c>
      <c r="G333" t="s">
        <v>4707</v>
      </c>
    </row>
    <row r="334" spans="1:7" ht="11.25" customHeight="1">
      <c r="A334" t="s">
        <v>14</v>
      </c>
      <c r="B334" t="s">
        <v>4708</v>
      </c>
      <c r="C334" t="s">
        <v>4709</v>
      </c>
      <c r="D334" t="s">
        <v>4710</v>
      </c>
      <c r="E334" t="s">
        <v>4711</v>
      </c>
      <c r="F334" t="s">
        <v>3786</v>
      </c>
      <c r="G334" t="s">
        <v>4712</v>
      </c>
    </row>
    <row r="335" spans="1:7" ht="11.25" customHeight="1">
      <c r="A335" t="s">
        <v>14</v>
      </c>
      <c r="B335" t="s">
        <v>4708</v>
      </c>
      <c r="C335" t="s">
        <v>4709</v>
      </c>
      <c r="D335" t="s">
        <v>4713</v>
      </c>
      <c r="E335" t="s">
        <v>4714</v>
      </c>
      <c r="F335" t="s">
        <v>3786</v>
      </c>
      <c r="G335" t="s">
        <v>4715</v>
      </c>
    </row>
    <row r="336" spans="1:7" ht="11.25" customHeight="1">
      <c r="A336" t="s">
        <v>14</v>
      </c>
      <c r="B336" t="s">
        <v>4708</v>
      </c>
      <c r="C336" t="s">
        <v>4709</v>
      </c>
      <c r="D336" t="s">
        <v>3949</v>
      </c>
      <c r="E336" t="s">
        <v>4716</v>
      </c>
      <c r="F336" t="s">
        <v>3786</v>
      </c>
      <c r="G336" t="s">
        <v>4717</v>
      </c>
    </row>
    <row r="337" spans="1:7" ht="11.25" customHeight="1">
      <c r="A337" t="s">
        <v>14</v>
      </c>
      <c r="B337" t="s">
        <v>4708</v>
      </c>
      <c r="C337" t="s">
        <v>4709</v>
      </c>
      <c r="D337" t="s">
        <v>4718</v>
      </c>
      <c r="E337" t="s">
        <v>4719</v>
      </c>
      <c r="F337" t="s">
        <v>3838</v>
      </c>
      <c r="G337" t="s">
        <v>4720</v>
      </c>
    </row>
    <row r="338" spans="1:7" ht="11.25" customHeight="1">
      <c r="A338" t="s">
        <v>14</v>
      </c>
      <c r="B338" t="s">
        <v>4708</v>
      </c>
      <c r="C338" t="s">
        <v>4709</v>
      </c>
      <c r="D338" t="s">
        <v>4721</v>
      </c>
      <c r="E338" t="s">
        <v>4722</v>
      </c>
      <c r="F338" t="s">
        <v>3786</v>
      </c>
      <c r="G338" t="s">
        <v>4723</v>
      </c>
    </row>
    <row r="339" spans="1:7" ht="11.25" customHeight="1">
      <c r="A339" t="s">
        <v>14</v>
      </c>
      <c r="B339" t="s">
        <v>4708</v>
      </c>
      <c r="C339" t="s">
        <v>4709</v>
      </c>
      <c r="D339" t="s">
        <v>4724</v>
      </c>
      <c r="E339" t="s">
        <v>4725</v>
      </c>
      <c r="F339" t="s">
        <v>3786</v>
      </c>
      <c r="G339" t="s">
        <v>4726</v>
      </c>
    </row>
    <row r="340" spans="1:7" ht="11.25" customHeight="1">
      <c r="A340" t="s">
        <v>14</v>
      </c>
      <c r="B340" t="s">
        <v>4708</v>
      </c>
      <c r="C340" t="s">
        <v>4709</v>
      </c>
      <c r="D340" t="s">
        <v>3935</v>
      </c>
      <c r="E340" t="s">
        <v>4727</v>
      </c>
      <c r="F340" t="s">
        <v>3786</v>
      </c>
      <c r="G340" t="s">
        <v>4728</v>
      </c>
    </row>
    <row r="341" spans="1:7" ht="11.25" customHeight="1">
      <c r="A341" t="s">
        <v>14</v>
      </c>
      <c r="B341" t="s">
        <v>4708</v>
      </c>
      <c r="C341" t="s">
        <v>4709</v>
      </c>
      <c r="D341" t="s">
        <v>4729</v>
      </c>
      <c r="E341" t="s">
        <v>4730</v>
      </c>
      <c r="F341" t="s">
        <v>3786</v>
      </c>
      <c r="G341" t="s">
        <v>4731</v>
      </c>
    </row>
    <row r="342" spans="1:7" ht="11.25" customHeight="1">
      <c r="A342" t="s">
        <v>14</v>
      </c>
      <c r="B342" t="s">
        <v>4708</v>
      </c>
      <c r="C342" t="s">
        <v>4709</v>
      </c>
      <c r="D342" t="s">
        <v>4708</v>
      </c>
      <c r="E342" t="s">
        <v>4709</v>
      </c>
      <c r="F342" t="s">
        <v>3783</v>
      </c>
      <c r="G342" t="s">
        <v>4732</v>
      </c>
    </row>
    <row r="343" spans="1:7" ht="11.25" customHeight="1">
      <c r="A343" t="s">
        <v>14</v>
      </c>
      <c r="B343" t="s">
        <v>4708</v>
      </c>
      <c r="C343" t="s">
        <v>4709</v>
      </c>
      <c r="D343" t="s">
        <v>4733</v>
      </c>
      <c r="E343" t="s">
        <v>4734</v>
      </c>
      <c r="F343" t="s">
        <v>3786</v>
      </c>
      <c r="G343" t="s">
        <v>4735</v>
      </c>
    </row>
    <row r="344" spans="1:7" ht="11.25" customHeight="1">
      <c r="A344" t="s">
        <v>14</v>
      </c>
      <c r="B344" t="s">
        <v>4708</v>
      </c>
      <c r="C344" t="s">
        <v>4709</v>
      </c>
      <c r="D344" t="s">
        <v>4736</v>
      </c>
      <c r="E344" t="s">
        <v>4737</v>
      </c>
      <c r="F344" t="s">
        <v>3786</v>
      </c>
      <c r="G344" t="s">
        <v>4738</v>
      </c>
    </row>
    <row r="345" spans="1:7" ht="11.25" customHeight="1">
      <c r="A345" t="s">
        <v>14</v>
      </c>
      <c r="B345" t="s">
        <v>4708</v>
      </c>
      <c r="C345" t="s">
        <v>4709</v>
      </c>
      <c r="D345" t="s">
        <v>4739</v>
      </c>
      <c r="E345" t="s">
        <v>4740</v>
      </c>
      <c r="F345" t="s">
        <v>3786</v>
      </c>
      <c r="G345" t="s">
        <v>4741</v>
      </c>
    </row>
    <row r="346" spans="1:7" ht="11.25" customHeight="1">
      <c r="A346" t="s">
        <v>14</v>
      </c>
      <c r="B346" t="s">
        <v>4742</v>
      </c>
      <c r="C346" t="s">
        <v>4743</v>
      </c>
      <c r="D346" t="s">
        <v>4742</v>
      </c>
      <c r="E346" t="s">
        <v>4743</v>
      </c>
      <c r="F346" t="s">
        <v>3780</v>
      </c>
      <c r="G346" t="s">
        <v>4744</v>
      </c>
    </row>
    <row r="347" spans="1:7" ht="11.25" customHeight="1">
      <c r="A347" t="s">
        <v>14</v>
      </c>
      <c r="B347" t="s">
        <v>4745</v>
      </c>
      <c r="C347" t="s">
        <v>4746</v>
      </c>
      <c r="D347" t="s">
        <v>4747</v>
      </c>
      <c r="E347" t="s">
        <v>4748</v>
      </c>
      <c r="F347" t="s">
        <v>3786</v>
      </c>
      <c r="G347" t="s">
        <v>4749</v>
      </c>
    </row>
    <row r="348" spans="1:7" ht="11.25" customHeight="1">
      <c r="A348" t="s">
        <v>14</v>
      </c>
      <c r="B348" t="s">
        <v>4745</v>
      </c>
      <c r="C348" t="s">
        <v>4746</v>
      </c>
      <c r="D348" t="s">
        <v>4750</v>
      </c>
      <c r="E348" t="s">
        <v>4751</v>
      </c>
      <c r="F348" t="s">
        <v>3786</v>
      </c>
      <c r="G348" t="s">
        <v>4752</v>
      </c>
    </row>
    <row r="349" spans="1:7" ht="11.25" customHeight="1">
      <c r="A349" t="s">
        <v>14</v>
      </c>
      <c r="B349" t="s">
        <v>4745</v>
      </c>
      <c r="C349" t="s">
        <v>4746</v>
      </c>
      <c r="D349" t="s">
        <v>4753</v>
      </c>
      <c r="E349" t="s">
        <v>4754</v>
      </c>
      <c r="F349" t="s">
        <v>3786</v>
      </c>
      <c r="G349" t="s">
        <v>4755</v>
      </c>
    </row>
    <row r="350" spans="1:7" ht="11.25" customHeight="1">
      <c r="A350" t="s">
        <v>14</v>
      </c>
      <c r="B350" t="s">
        <v>4745</v>
      </c>
      <c r="C350" t="s">
        <v>4746</v>
      </c>
      <c r="D350" t="s">
        <v>4756</v>
      </c>
      <c r="E350" t="s">
        <v>4757</v>
      </c>
      <c r="F350" t="s">
        <v>3786</v>
      </c>
      <c r="G350" t="s">
        <v>4758</v>
      </c>
    </row>
    <row r="351" spans="1:7" ht="11.25" customHeight="1">
      <c r="A351" t="s">
        <v>14</v>
      </c>
      <c r="B351" t="s">
        <v>4745</v>
      </c>
      <c r="C351" t="s">
        <v>4746</v>
      </c>
      <c r="D351" t="s">
        <v>4759</v>
      </c>
      <c r="E351" t="s">
        <v>4760</v>
      </c>
      <c r="F351" t="s">
        <v>3786</v>
      </c>
      <c r="G351" t="s">
        <v>4761</v>
      </c>
    </row>
    <row r="352" spans="1:7" ht="11.25" customHeight="1">
      <c r="A352" t="s">
        <v>14</v>
      </c>
      <c r="B352" t="s">
        <v>4745</v>
      </c>
      <c r="C352" t="s">
        <v>4746</v>
      </c>
      <c r="D352" t="s">
        <v>4463</v>
      </c>
      <c r="E352" t="s">
        <v>4762</v>
      </c>
      <c r="F352" t="s">
        <v>3786</v>
      </c>
      <c r="G352" t="s">
        <v>4763</v>
      </c>
    </row>
    <row r="353" spans="1:7" ht="11.25" customHeight="1">
      <c r="A353" t="s">
        <v>14</v>
      </c>
      <c r="B353" t="s">
        <v>4745</v>
      </c>
      <c r="C353" t="s">
        <v>4746</v>
      </c>
      <c r="D353" t="s">
        <v>4745</v>
      </c>
      <c r="E353" t="s">
        <v>4746</v>
      </c>
      <c r="F353" t="s">
        <v>3783</v>
      </c>
      <c r="G353" t="s">
        <v>4764</v>
      </c>
    </row>
    <row r="354" spans="1:7" ht="11.25" customHeight="1">
      <c r="A354" t="s">
        <v>14</v>
      </c>
      <c r="B354" t="s">
        <v>4745</v>
      </c>
      <c r="C354" t="s">
        <v>4746</v>
      </c>
      <c r="D354" t="s">
        <v>4765</v>
      </c>
      <c r="E354" t="s">
        <v>4766</v>
      </c>
      <c r="F354" t="s">
        <v>3786</v>
      </c>
      <c r="G354" t="s">
        <v>4767</v>
      </c>
    </row>
    <row r="355" spans="1:7" ht="11.25" customHeight="1">
      <c r="A355" t="s">
        <v>14</v>
      </c>
      <c r="B355" t="s">
        <v>4768</v>
      </c>
      <c r="C355" t="s">
        <v>4769</v>
      </c>
      <c r="D355" t="s">
        <v>4768</v>
      </c>
      <c r="E355" t="s">
        <v>4769</v>
      </c>
      <c r="F355" t="s">
        <v>4099</v>
      </c>
      <c r="G355" t="s">
        <v>4770</v>
      </c>
    </row>
    <row r="356" spans="1:7" ht="11.25" customHeight="1">
      <c r="A356" t="s">
        <v>14</v>
      </c>
      <c r="B356" t="s">
        <v>4771</v>
      </c>
      <c r="C356" t="s">
        <v>4772</v>
      </c>
      <c r="D356" t="s">
        <v>4771</v>
      </c>
      <c r="E356" t="s">
        <v>4772</v>
      </c>
      <c r="F356" t="s">
        <v>3780</v>
      </c>
      <c r="G356" t="s">
        <v>4773</v>
      </c>
    </row>
    <row r="357" spans="1:7" ht="11.25" customHeight="1">
      <c r="A357" t="s">
        <v>14</v>
      </c>
      <c r="B357" t="s">
        <v>4774</v>
      </c>
      <c r="C357" t="s">
        <v>4775</v>
      </c>
      <c r="D357" t="s">
        <v>4776</v>
      </c>
      <c r="E357" t="s">
        <v>4777</v>
      </c>
      <c r="F357" t="s">
        <v>3786</v>
      </c>
      <c r="G357" t="s">
        <v>4778</v>
      </c>
    </row>
    <row r="358" spans="1:7" ht="11.25" customHeight="1">
      <c r="A358" t="s">
        <v>14</v>
      </c>
      <c r="B358" t="s">
        <v>4774</v>
      </c>
      <c r="C358" t="s">
        <v>4775</v>
      </c>
      <c r="D358" t="s">
        <v>4779</v>
      </c>
      <c r="E358" t="s">
        <v>4780</v>
      </c>
      <c r="F358" t="s">
        <v>3786</v>
      </c>
      <c r="G358" t="s">
        <v>4781</v>
      </c>
    </row>
    <row r="359" spans="1:7" ht="11.25" customHeight="1">
      <c r="A359" t="s">
        <v>14</v>
      </c>
      <c r="B359" t="s">
        <v>4774</v>
      </c>
      <c r="C359" t="s">
        <v>4775</v>
      </c>
      <c r="D359" t="s">
        <v>4782</v>
      </c>
      <c r="E359" t="s">
        <v>4783</v>
      </c>
      <c r="F359" t="s">
        <v>3786</v>
      </c>
      <c r="G359" t="s">
        <v>4784</v>
      </c>
    </row>
    <row r="360" spans="1:7" ht="11.25" customHeight="1">
      <c r="A360" t="s">
        <v>14</v>
      </c>
      <c r="B360" t="s">
        <v>4774</v>
      </c>
      <c r="C360" t="s">
        <v>4775</v>
      </c>
      <c r="D360" t="s">
        <v>4785</v>
      </c>
      <c r="E360" t="s">
        <v>4786</v>
      </c>
      <c r="F360" t="s">
        <v>3786</v>
      </c>
      <c r="G360" t="s">
        <v>4787</v>
      </c>
    </row>
    <row r="361" spans="1:7" ht="11.25" customHeight="1">
      <c r="A361" t="s">
        <v>14</v>
      </c>
      <c r="B361" t="s">
        <v>4774</v>
      </c>
      <c r="C361" t="s">
        <v>4775</v>
      </c>
      <c r="D361" t="s">
        <v>4788</v>
      </c>
      <c r="E361" t="s">
        <v>4789</v>
      </c>
      <c r="F361" t="s">
        <v>3786</v>
      </c>
      <c r="G361" t="s">
        <v>4790</v>
      </c>
    </row>
    <row r="362" spans="1:7" ht="11.25" customHeight="1">
      <c r="A362" t="s">
        <v>14</v>
      </c>
      <c r="B362" t="s">
        <v>4774</v>
      </c>
      <c r="C362" t="s">
        <v>4775</v>
      </c>
      <c r="D362" t="s">
        <v>4791</v>
      </c>
      <c r="E362" t="s">
        <v>4792</v>
      </c>
      <c r="F362" t="s">
        <v>3793</v>
      </c>
      <c r="G362" t="s">
        <v>4793</v>
      </c>
    </row>
    <row r="363" spans="1:7" ht="11.25" customHeight="1">
      <c r="A363" t="s">
        <v>14</v>
      </c>
      <c r="B363" t="s">
        <v>4774</v>
      </c>
      <c r="C363" t="s">
        <v>4775</v>
      </c>
      <c r="D363" t="s">
        <v>4794</v>
      </c>
      <c r="E363" t="s">
        <v>4795</v>
      </c>
      <c r="F363" t="s">
        <v>3786</v>
      </c>
      <c r="G363" t="s">
        <v>4796</v>
      </c>
    </row>
    <row r="364" spans="1:7" ht="11.25" customHeight="1">
      <c r="A364" t="s">
        <v>14</v>
      </c>
      <c r="B364" t="s">
        <v>4774</v>
      </c>
      <c r="C364" t="s">
        <v>4775</v>
      </c>
      <c r="D364" t="s">
        <v>4797</v>
      </c>
      <c r="E364" t="s">
        <v>4798</v>
      </c>
      <c r="F364" t="s">
        <v>3786</v>
      </c>
      <c r="G364" t="s">
        <v>4799</v>
      </c>
    </row>
    <row r="365" spans="1:7" ht="11.25" customHeight="1">
      <c r="A365" t="s">
        <v>14</v>
      </c>
      <c r="B365" t="s">
        <v>4774</v>
      </c>
      <c r="C365" t="s">
        <v>4775</v>
      </c>
      <c r="D365" t="s">
        <v>4774</v>
      </c>
      <c r="E365" t="s">
        <v>4775</v>
      </c>
      <c r="F365" t="s">
        <v>3783</v>
      </c>
      <c r="G365" t="s">
        <v>4800</v>
      </c>
    </row>
    <row r="366" spans="1:7" ht="11.25" customHeight="1">
      <c r="A366" t="s">
        <v>14</v>
      </c>
      <c r="B366" t="s">
        <v>4774</v>
      </c>
      <c r="C366" t="s">
        <v>4775</v>
      </c>
      <c r="D366" t="s">
        <v>4801</v>
      </c>
      <c r="E366" t="s">
        <v>4802</v>
      </c>
      <c r="F366" t="s">
        <v>3786</v>
      </c>
      <c r="G366" t="s">
        <v>4803</v>
      </c>
    </row>
    <row r="367" spans="1:7" ht="11.25" customHeight="1">
      <c r="A367" t="s">
        <v>14</v>
      </c>
      <c r="B367" t="s">
        <v>4804</v>
      </c>
      <c r="C367" t="s">
        <v>4805</v>
      </c>
      <c r="D367" t="s">
        <v>4804</v>
      </c>
      <c r="E367" t="s">
        <v>4805</v>
      </c>
      <c r="F367" t="s">
        <v>3780</v>
      </c>
      <c r="G367" t="s">
        <v>4806</v>
      </c>
    </row>
    <row r="368" spans="1:7" ht="11.25" customHeight="1">
      <c r="A368" t="s">
        <v>14</v>
      </c>
      <c r="B368" t="s">
        <v>4807</v>
      </c>
      <c r="C368" t="s">
        <v>4808</v>
      </c>
      <c r="D368" t="s">
        <v>4809</v>
      </c>
      <c r="E368" t="s">
        <v>4810</v>
      </c>
      <c r="F368" t="s">
        <v>3786</v>
      </c>
      <c r="G368" t="s">
        <v>4811</v>
      </c>
    </row>
    <row r="369" spans="1:7" ht="11.25" customHeight="1">
      <c r="A369" t="s">
        <v>14</v>
      </c>
      <c r="B369" t="s">
        <v>4807</v>
      </c>
      <c r="C369" t="s">
        <v>4808</v>
      </c>
      <c r="D369" t="s">
        <v>4812</v>
      </c>
      <c r="E369" t="s">
        <v>4813</v>
      </c>
      <c r="F369" t="s">
        <v>3786</v>
      </c>
      <c r="G369" t="s">
        <v>4814</v>
      </c>
    </row>
    <row r="370" spans="1:7" ht="11.25" customHeight="1">
      <c r="A370" t="s">
        <v>14</v>
      </c>
      <c r="B370" t="s">
        <v>4807</v>
      </c>
      <c r="C370" t="s">
        <v>4808</v>
      </c>
      <c r="D370" t="s">
        <v>4815</v>
      </c>
      <c r="E370" t="s">
        <v>4816</v>
      </c>
      <c r="F370" t="s">
        <v>3786</v>
      </c>
      <c r="G370" t="s">
        <v>4817</v>
      </c>
    </row>
    <row r="371" spans="1:7" ht="11.25" customHeight="1">
      <c r="A371" t="s">
        <v>14</v>
      </c>
      <c r="B371" t="s">
        <v>4807</v>
      </c>
      <c r="C371" t="s">
        <v>4808</v>
      </c>
      <c r="D371" t="s">
        <v>4818</v>
      </c>
      <c r="E371" t="s">
        <v>4819</v>
      </c>
      <c r="F371" t="s">
        <v>3786</v>
      </c>
      <c r="G371" t="s">
        <v>4820</v>
      </c>
    </row>
    <row r="372" spans="1:7" ht="11.25" customHeight="1">
      <c r="A372" t="s">
        <v>14</v>
      </c>
      <c r="B372" t="s">
        <v>4807</v>
      </c>
      <c r="C372" t="s">
        <v>4808</v>
      </c>
      <c r="D372" t="s">
        <v>4821</v>
      </c>
      <c r="E372" t="s">
        <v>4822</v>
      </c>
      <c r="F372" t="s">
        <v>3786</v>
      </c>
      <c r="G372" t="s">
        <v>4823</v>
      </c>
    </row>
    <row r="373" spans="1:7" ht="11.25" customHeight="1">
      <c r="A373" t="s">
        <v>14</v>
      </c>
      <c r="B373" t="s">
        <v>4807</v>
      </c>
      <c r="C373" t="s">
        <v>4808</v>
      </c>
      <c r="D373" t="s">
        <v>4807</v>
      </c>
      <c r="E373" t="s">
        <v>4808</v>
      </c>
      <c r="F373" t="s">
        <v>3783</v>
      </c>
      <c r="G373" t="s">
        <v>4824</v>
      </c>
    </row>
    <row r="374" spans="1:7" ht="11.25" customHeight="1">
      <c r="A374" t="s">
        <v>14</v>
      </c>
      <c r="B374" t="s">
        <v>4807</v>
      </c>
      <c r="C374" t="s">
        <v>4808</v>
      </c>
      <c r="D374" t="s">
        <v>4825</v>
      </c>
      <c r="E374" t="s">
        <v>4826</v>
      </c>
      <c r="F374" t="s">
        <v>3786</v>
      </c>
      <c r="G374" t="s">
        <v>4827</v>
      </c>
    </row>
    <row r="375" spans="1:7" ht="11.25" customHeight="1">
      <c r="A375" t="s">
        <v>14</v>
      </c>
      <c r="B375" t="s">
        <v>4807</v>
      </c>
      <c r="C375" t="s">
        <v>4808</v>
      </c>
      <c r="D375" t="s">
        <v>4828</v>
      </c>
      <c r="E375" t="s">
        <v>4829</v>
      </c>
      <c r="F375" t="s">
        <v>3786</v>
      </c>
      <c r="G375" t="s">
        <v>4830</v>
      </c>
    </row>
    <row r="376" spans="1:7" ht="11.25" customHeight="1">
      <c r="A376" t="s">
        <v>14</v>
      </c>
      <c r="B376" t="s">
        <v>4831</v>
      </c>
      <c r="C376" t="s">
        <v>4832</v>
      </c>
      <c r="D376" t="s">
        <v>4831</v>
      </c>
      <c r="E376" t="s">
        <v>4832</v>
      </c>
      <c r="F376" t="s">
        <v>3780</v>
      </c>
      <c r="G376" t="s">
        <v>4833</v>
      </c>
    </row>
    <row r="377" spans="1:7" ht="11.25" customHeight="1">
      <c r="A377" t="s">
        <v>14</v>
      </c>
      <c r="B377" t="s">
        <v>4834</v>
      </c>
      <c r="C377" t="s">
        <v>4835</v>
      </c>
      <c r="D377" t="s">
        <v>4836</v>
      </c>
      <c r="E377" t="s">
        <v>4837</v>
      </c>
      <c r="F377" t="s">
        <v>3786</v>
      </c>
      <c r="G377" t="s">
        <v>4838</v>
      </c>
    </row>
    <row r="378" spans="1:7" ht="11.25" customHeight="1">
      <c r="A378" t="s">
        <v>14</v>
      </c>
      <c r="B378" t="s">
        <v>4834</v>
      </c>
      <c r="C378" t="s">
        <v>4835</v>
      </c>
      <c r="D378" t="s">
        <v>4839</v>
      </c>
      <c r="E378" t="s">
        <v>4840</v>
      </c>
      <c r="F378" t="s">
        <v>3786</v>
      </c>
      <c r="G378" t="s">
        <v>4841</v>
      </c>
    </row>
    <row r="379" spans="1:7" ht="11.25" customHeight="1">
      <c r="A379" t="s">
        <v>14</v>
      </c>
      <c r="B379" t="s">
        <v>4834</v>
      </c>
      <c r="C379" t="s">
        <v>4835</v>
      </c>
      <c r="D379" t="s">
        <v>4842</v>
      </c>
      <c r="E379" t="s">
        <v>4843</v>
      </c>
      <c r="F379" t="s">
        <v>3786</v>
      </c>
      <c r="G379" t="s">
        <v>4844</v>
      </c>
    </row>
    <row r="380" spans="1:7" ht="11.25" customHeight="1">
      <c r="A380" t="s">
        <v>14</v>
      </c>
      <c r="B380" t="s">
        <v>4834</v>
      </c>
      <c r="C380" t="s">
        <v>4835</v>
      </c>
      <c r="D380" t="s">
        <v>4845</v>
      </c>
      <c r="E380" t="s">
        <v>4846</v>
      </c>
      <c r="F380" t="s">
        <v>3786</v>
      </c>
      <c r="G380" t="s">
        <v>4847</v>
      </c>
    </row>
    <row r="381" spans="1:7" ht="11.25" customHeight="1">
      <c r="A381" t="s">
        <v>14</v>
      </c>
      <c r="B381" t="s">
        <v>4834</v>
      </c>
      <c r="C381" t="s">
        <v>4835</v>
      </c>
      <c r="D381" t="s">
        <v>4848</v>
      </c>
      <c r="E381" t="s">
        <v>4849</v>
      </c>
      <c r="F381" t="s">
        <v>3793</v>
      </c>
      <c r="G381" t="s">
        <v>4850</v>
      </c>
    </row>
    <row r="382" spans="1:7" ht="11.25" customHeight="1">
      <c r="A382" t="s">
        <v>14</v>
      </c>
      <c r="B382" t="s">
        <v>4834</v>
      </c>
      <c r="C382" t="s">
        <v>4835</v>
      </c>
      <c r="D382" t="s">
        <v>4834</v>
      </c>
      <c r="E382" t="s">
        <v>4835</v>
      </c>
      <c r="F382" t="s">
        <v>3783</v>
      </c>
      <c r="G382" t="s">
        <v>4851</v>
      </c>
    </row>
    <row r="383" spans="1:7" ht="11.25" customHeight="1">
      <c r="A383" t="s">
        <v>14</v>
      </c>
      <c r="B383" t="s">
        <v>4852</v>
      </c>
      <c r="C383" t="s">
        <v>4853</v>
      </c>
      <c r="D383" t="s">
        <v>4852</v>
      </c>
      <c r="E383" t="s">
        <v>4853</v>
      </c>
      <c r="F383" t="s">
        <v>3780</v>
      </c>
      <c r="G383" t="s">
        <v>4854</v>
      </c>
    </row>
    <row r="384" spans="1:7" ht="11.25" customHeight="1">
      <c r="A384" t="s">
        <v>14</v>
      </c>
      <c r="B384" t="s">
        <v>4855</v>
      </c>
      <c r="C384" t="s">
        <v>4856</v>
      </c>
      <c r="D384" t="s">
        <v>4857</v>
      </c>
      <c r="E384" t="s">
        <v>4858</v>
      </c>
      <c r="F384" t="s">
        <v>3786</v>
      </c>
      <c r="G384" t="s">
        <v>4859</v>
      </c>
    </row>
    <row r="385" spans="1:7" ht="11.25" customHeight="1">
      <c r="A385" t="s">
        <v>14</v>
      </c>
      <c r="B385" t="s">
        <v>4855</v>
      </c>
      <c r="C385" t="s">
        <v>4856</v>
      </c>
      <c r="D385" t="s">
        <v>4860</v>
      </c>
      <c r="E385" t="s">
        <v>4861</v>
      </c>
      <c r="F385" t="s">
        <v>3786</v>
      </c>
      <c r="G385" t="s">
        <v>4862</v>
      </c>
    </row>
    <row r="386" spans="1:7" ht="11.25" customHeight="1">
      <c r="A386" t="s">
        <v>14</v>
      </c>
      <c r="B386" t="s">
        <v>4855</v>
      </c>
      <c r="C386" t="s">
        <v>4856</v>
      </c>
      <c r="D386" t="s">
        <v>4863</v>
      </c>
      <c r="E386" t="s">
        <v>4864</v>
      </c>
      <c r="F386" t="s">
        <v>3786</v>
      </c>
      <c r="G386" t="s">
        <v>4865</v>
      </c>
    </row>
    <row r="387" spans="1:7" ht="11.25" customHeight="1">
      <c r="A387" t="s">
        <v>14</v>
      </c>
      <c r="B387" t="s">
        <v>4855</v>
      </c>
      <c r="C387" t="s">
        <v>4856</v>
      </c>
      <c r="D387" t="s">
        <v>4866</v>
      </c>
      <c r="E387" t="s">
        <v>4867</v>
      </c>
      <c r="F387" t="s">
        <v>3786</v>
      </c>
      <c r="G387" t="s">
        <v>4868</v>
      </c>
    </row>
    <row r="388" spans="1:7" ht="11.25" customHeight="1">
      <c r="A388" t="s">
        <v>14</v>
      </c>
      <c r="B388" t="s">
        <v>4855</v>
      </c>
      <c r="C388" t="s">
        <v>4856</v>
      </c>
      <c r="D388" t="s">
        <v>4869</v>
      </c>
      <c r="E388" t="s">
        <v>4870</v>
      </c>
      <c r="F388" t="s">
        <v>3786</v>
      </c>
      <c r="G388" t="s">
        <v>4871</v>
      </c>
    </row>
    <row r="389" spans="1:7" ht="11.25" customHeight="1">
      <c r="A389" t="s">
        <v>14</v>
      </c>
      <c r="B389" t="s">
        <v>4855</v>
      </c>
      <c r="C389" t="s">
        <v>4856</v>
      </c>
      <c r="D389" t="s">
        <v>4872</v>
      </c>
      <c r="E389" t="s">
        <v>4873</v>
      </c>
      <c r="F389" t="s">
        <v>3793</v>
      </c>
      <c r="G389" t="s">
        <v>4874</v>
      </c>
    </row>
    <row r="390" spans="1:7" ht="11.25" customHeight="1">
      <c r="A390" t="s">
        <v>14</v>
      </c>
      <c r="B390" t="s">
        <v>4855</v>
      </c>
      <c r="C390" t="s">
        <v>4856</v>
      </c>
      <c r="D390" t="s">
        <v>4875</v>
      </c>
      <c r="E390" t="s">
        <v>4876</v>
      </c>
      <c r="F390" t="s">
        <v>3793</v>
      </c>
      <c r="G390" t="s">
        <v>4877</v>
      </c>
    </row>
    <row r="391" spans="1:7" ht="11.25" customHeight="1">
      <c r="A391" t="s">
        <v>14</v>
      </c>
      <c r="B391" t="s">
        <v>4855</v>
      </c>
      <c r="C391" t="s">
        <v>4856</v>
      </c>
      <c r="D391" t="s">
        <v>4878</v>
      </c>
      <c r="E391" t="s">
        <v>4879</v>
      </c>
      <c r="F391" t="s">
        <v>3793</v>
      </c>
      <c r="G391" t="s">
        <v>4880</v>
      </c>
    </row>
    <row r="392" spans="1:7" ht="11.25" customHeight="1">
      <c r="A392" t="s">
        <v>14</v>
      </c>
      <c r="B392" t="s">
        <v>4855</v>
      </c>
      <c r="C392" t="s">
        <v>4856</v>
      </c>
      <c r="D392" t="s">
        <v>4855</v>
      </c>
      <c r="E392" t="s">
        <v>4856</v>
      </c>
      <c r="F392" t="s">
        <v>3783</v>
      </c>
      <c r="G392" t="s">
        <v>4881</v>
      </c>
    </row>
    <row r="393" spans="1:7" ht="11.25" customHeight="1">
      <c r="A393" t="s">
        <v>14</v>
      </c>
      <c r="B393" t="s">
        <v>4855</v>
      </c>
      <c r="C393" t="s">
        <v>4856</v>
      </c>
      <c r="D393" t="s">
        <v>4882</v>
      </c>
      <c r="E393" t="s">
        <v>4883</v>
      </c>
      <c r="F393" t="s">
        <v>3786</v>
      </c>
      <c r="G393" t="s">
        <v>4884</v>
      </c>
    </row>
    <row r="394" spans="1:7" ht="11.25" customHeight="1">
      <c r="A394" t="s">
        <v>14</v>
      </c>
      <c r="B394" t="s">
        <v>4885</v>
      </c>
      <c r="C394" t="s">
        <v>4886</v>
      </c>
      <c r="D394" t="s">
        <v>4885</v>
      </c>
      <c r="E394" t="s">
        <v>4886</v>
      </c>
      <c r="F394" t="s">
        <v>3780</v>
      </c>
      <c r="G394" t="s">
        <v>4887</v>
      </c>
    </row>
    <row r="395" spans="1:7" ht="11.25" customHeight="1">
      <c r="A395" t="s">
        <v>14</v>
      </c>
      <c r="B395" t="s">
        <v>4888</v>
      </c>
      <c r="C395" t="s">
        <v>4889</v>
      </c>
      <c r="D395" t="s">
        <v>4890</v>
      </c>
      <c r="E395" t="s">
        <v>4891</v>
      </c>
      <c r="F395" t="s">
        <v>3786</v>
      </c>
      <c r="G395" t="s">
        <v>4892</v>
      </c>
    </row>
    <row r="396" spans="1:7" ht="11.25" customHeight="1">
      <c r="A396" t="s">
        <v>14</v>
      </c>
      <c r="B396" t="s">
        <v>4888</v>
      </c>
      <c r="C396" t="s">
        <v>4889</v>
      </c>
      <c r="D396" t="s">
        <v>4893</v>
      </c>
      <c r="E396" t="s">
        <v>4894</v>
      </c>
      <c r="F396" t="s">
        <v>3786</v>
      </c>
      <c r="G396" t="s">
        <v>4895</v>
      </c>
    </row>
    <row r="397" spans="1:7" ht="11.25" customHeight="1">
      <c r="A397" t="s">
        <v>14</v>
      </c>
      <c r="B397" t="s">
        <v>4888</v>
      </c>
      <c r="C397" t="s">
        <v>4889</v>
      </c>
      <c r="D397" t="s">
        <v>4896</v>
      </c>
      <c r="E397" t="s">
        <v>4897</v>
      </c>
      <c r="F397" t="s">
        <v>3786</v>
      </c>
      <c r="G397" t="s">
        <v>4898</v>
      </c>
    </row>
    <row r="398" spans="1:7" ht="11.25" customHeight="1">
      <c r="A398" t="s">
        <v>14</v>
      </c>
      <c r="B398" t="s">
        <v>4888</v>
      </c>
      <c r="C398" t="s">
        <v>4889</v>
      </c>
      <c r="D398" t="s">
        <v>4842</v>
      </c>
      <c r="E398" t="s">
        <v>4899</v>
      </c>
      <c r="F398" t="s">
        <v>3786</v>
      </c>
      <c r="G398" t="s">
        <v>4900</v>
      </c>
    </row>
    <row r="399" spans="1:7" ht="11.25" customHeight="1">
      <c r="A399" t="s">
        <v>14</v>
      </c>
      <c r="B399" t="s">
        <v>4888</v>
      </c>
      <c r="C399" t="s">
        <v>4889</v>
      </c>
      <c r="D399" t="s">
        <v>4334</v>
      </c>
      <c r="E399" t="s">
        <v>4901</v>
      </c>
      <c r="F399" t="s">
        <v>3786</v>
      </c>
      <c r="G399" t="s">
        <v>4902</v>
      </c>
    </row>
    <row r="400" spans="1:7" ht="11.25" customHeight="1">
      <c r="A400" t="s">
        <v>14</v>
      </c>
      <c r="B400" t="s">
        <v>4888</v>
      </c>
      <c r="C400" t="s">
        <v>4889</v>
      </c>
      <c r="D400" t="s">
        <v>4903</v>
      </c>
      <c r="E400" t="s">
        <v>4904</v>
      </c>
      <c r="F400" t="s">
        <v>3838</v>
      </c>
      <c r="G400" t="s">
        <v>4905</v>
      </c>
    </row>
    <row r="401" spans="1:7" ht="11.25" customHeight="1">
      <c r="A401" t="s">
        <v>14</v>
      </c>
      <c r="B401" t="s">
        <v>4888</v>
      </c>
      <c r="C401" t="s">
        <v>4889</v>
      </c>
      <c r="D401" t="s">
        <v>4906</v>
      </c>
      <c r="E401" t="s">
        <v>4907</v>
      </c>
      <c r="F401" t="s">
        <v>3786</v>
      </c>
      <c r="G401" t="s">
        <v>4908</v>
      </c>
    </row>
    <row r="402" spans="1:7" ht="11.25" customHeight="1">
      <c r="A402" t="s">
        <v>14</v>
      </c>
      <c r="B402" t="s">
        <v>4888</v>
      </c>
      <c r="C402" t="s">
        <v>4889</v>
      </c>
      <c r="D402" t="s">
        <v>4909</v>
      </c>
      <c r="E402" t="s">
        <v>4910</v>
      </c>
      <c r="F402" t="s">
        <v>3786</v>
      </c>
      <c r="G402" t="s">
        <v>4911</v>
      </c>
    </row>
    <row r="403" spans="1:7" ht="11.25" customHeight="1">
      <c r="A403" t="s">
        <v>14</v>
      </c>
      <c r="B403" t="s">
        <v>4888</v>
      </c>
      <c r="C403" t="s">
        <v>4889</v>
      </c>
      <c r="D403" t="s">
        <v>4109</v>
      </c>
      <c r="E403" t="s">
        <v>4912</v>
      </c>
      <c r="F403" t="s">
        <v>3786</v>
      </c>
      <c r="G403" t="s">
        <v>4913</v>
      </c>
    </row>
    <row r="404" spans="1:7" ht="11.25" customHeight="1">
      <c r="A404" t="s">
        <v>14</v>
      </c>
      <c r="B404" t="s">
        <v>4888</v>
      </c>
      <c r="C404" t="s">
        <v>4889</v>
      </c>
      <c r="D404" t="s">
        <v>4914</v>
      </c>
      <c r="E404" t="s">
        <v>4915</v>
      </c>
      <c r="F404" t="s">
        <v>3786</v>
      </c>
      <c r="G404" t="s">
        <v>4916</v>
      </c>
    </row>
    <row r="405" spans="1:7" ht="11.25" customHeight="1">
      <c r="A405" t="s">
        <v>14</v>
      </c>
      <c r="B405" t="s">
        <v>4888</v>
      </c>
      <c r="C405" t="s">
        <v>4889</v>
      </c>
      <c r="D405" t="s">
        <v>4917</v>
      </c>
      <c r="E405" t="s">
        <v>4918</v>
      </c>
      <c r="F405" t="s">
        <v>3786</v>
      </c>
      <c r="G405" t="s">
        <v>4919</v>
      </c>
    </row>
    <row r="406" spans="1:7" ht="11.25" customHeight="1">
      <c r="A406" t="s">
        <v>14</v>
      </c>
      <c r="B406" t="s">
        <v>4888</v>
      </c>
      <c r="C406" t="s">
        <v>4889</v>
      </c>
      <c r="D406" t="s">
        <v>4920</v>
      </c>
      <c r="E406" t="s">
        <v>4921</v>
      </c>
      <c r="F406" t="s">
        <v>3793</v>
      </c>
      <c r="G406" t="s">
        <v>4922</v>
      </c>
    </row>
    <row r="407" spans="1:7" ht="11.25" customHeight="1">
      <c r="A407" t="s">
        <v>14</v>
      </c>
      <c r="B407" t="s">
        <v>4888</v>
      </c>
      <c r="C407" t="s">
        <v>4889</v>
      </c>
      <c r="D407" t="s">
        <v>4404</v>
      </c>
      <c r="E407" t="s">
        <v>4923</v>
      </c>
      <c r="F407" t="s">
        <v>3786</v>
      </c>
      <c r="G407" t="s">
        <v>4924</v>
      </c>
    </row>
    <row r="408" spans="1:7" ht="11.25" customHeight="1">
      <c r="A408" t="s">
        <v>14</v>
      </c>
      <c r="B408" t="s">
        <v>4888</v>
      </c>
      <c r="C408" t="s">
        <v>4889</v>
      </c>
      <c r="D408" t="s">
        <v>4925</v>
      </c>
      <c r="E408" t="s">
        <v>4926</v>
      </c>
      <c r="F408" t="s">
        <v>3786</v>
      </c>
      <c r="G408" t="s">
        <v>4927</v>
      </c>
    </row>
    <row r="409" spans="1:7" ht="11.25" customHeight="1">
      <c r="A409" t="s">
        <v>14</v>
      </c>
      <c r="B409" t="s">
        <v>4888</v>
      </c>
      <c r="C409" t="s">
        <v>4889</v>
      </c>
      <c r="D409" t="s">
        <v>4888</v>
      </c>
      <c r="E409" t="s">
        <v>4889</v>
      </c>
      <c r="F409" t="s">
        <v>3783</v>
      </c>
      <c r="G409" t="s">
        <v>4928</v>
      </c>
    </row>
    <row r="410" spans="1:7" ht="11.25" customHeight="1">
      <c r="A410" t="s">
        <v>14</v>
      </c>
      <c r="B410" t="s">
        <v>4888</v>
      </c>
      <c r="C410" t="s">
        <v>4889</v>
      </c>
      <c r="D410" t="s">
        <v>4929</v>
      </c>
      <c r="E410" t="s">
        <v>4930</v>
      </c>
      <c r="F410" t="s">
        <v>3786</v>
      </c>
      <c r="G410" t="s">
        <v>4931</v>
      </c>
    </row>
    <row r="411" spans="1:7" ht="11.25" customHeight="1">
      <c r="A411" t="s">
        <v>14</v>
      </c>
      <c r="B411" t="s">
        <v>4932</v>
      </c>
      <c r="C411" t="s">
        <v>4933</v>
      </c>
      <c r="D411" t="s">
        <v>4934</v>
      </c>
      <c r="E411" t="s">
        <v>4935</v>
      </c>
      <c r="F411" t="s">
        <v>3786</v>
      </c>
      <c r="G411" t="s">
        <v>4936</v>
      </c>
    </row>
    <row r="412" spans="1:7" ht="11.25" customHeight="1">
      <c r="A412" t="s">
        <v>14</v>
      </c>
      <c r="B412" t="s">
        <v>4932</v>
      </c>
      <c r="C412" t="s">
        <v>4933</v>
      </c>
      <c r="D412" t="s">
        <v>4937</v>
      </c>
      <c r="E412" t="s">
        <v>4938</v>
      </c>
      <c r="F412" t="s">
        <v>3786</v>
      </c>
      <c r="G412" t="s">
        <v>4939</v>
      </c>
    </row>
    <row r="413" spans="1:7" ht="11.25" customHeight="1">
      <c r="A413" t="s">
        <v>14</v>
      </c>
      <c r="B413" t="s">
        <v>4932</v>
      </c>
      <c r="C413" t="s">
        <v>4933</v>
      </c>
      <c r="D413" t="s">
        <v>4940</v>
      </c>
      <c r="E413" t="s">
        <v>4941</v>
      </c>
      <c r="F413" t="s">
        <v>3838</v>
      </c>
      <c r="G413" t="s">
        <v>4942</v>
      </c>
    </row>
    <row r="414" spans="1:7" ht="11.25" customHeight="1">
      <c r="A414" t="s">
        <v>14</v>
      </c>
      <c r="B414" t="s">
        <v>4932</v>
      </c>
      <c r="C414" t="s">
        <v>4933</v>
      </c>
      <c r="D414" t="s">
        <v>4943</v>
      </c>
      <c r="E414" t="s">
        <v>4944</v>
      </c>
      <c r="F414" t="s">
        <v>3786</v>
      </c>
      <c r="G414" t="s">
        <v>4945</v>
      </c>
    </row>
    <row r="415" spans="1:7" ht="11.25" customHeight="1">
      <c r="A415" t="s">
        <v>14</v>
      </c>
      <c r="B415" t="s">
        <v>4932</v>
      </c>
      <c r="C415" t="s">
        <v>4933</v>
      </c>
      <c r="D415" t="s">
        <v>4946</v>
      </c>
      <c r="E415" t="s">
        <v>4947</v>
      </c>
      <c r="F415" t="s">
        <v>3786</v>
      </c>
      <c r="G415" t="s">
        <v>4948</v>
      </c>
    </row>
    <row r="416" spans="1:7" ht="11.25" customHeight="1">
      <c r="A416" t="s">
        <v>14</v>
      </c>
      <c r="B416" t="s">
        <v>4932</v>
      </c>
      <c r="C416" t="s">
        <v>4933</v>
      </c>
      <c r="D416" t="s">
        <v>4949</v>
      </c>
      <c r="E416" t="s">
        <v>4950</v>
      </c>
      <c r="F416" t="s">
        <v>3786</v>
      </c>
      <c r="G416" t="s">
        <v>4951</v>
      </c>
    </row>
    <row r="417" spans="1:7" ht="11.25" customHeight="1">
      <c r="A417" t="s">
        <v>14</v>
      </c>
      <c r="B417" t="s">
        <v>4932</v>
      </c>
      <c r="C417" t="s">
        <v>4933</v>
      </c>
      <c r="D417" t="s">
        <v>4952</v>
      </c>
      <c r="E417" t="s">
        <v>4953</v>
      </c>
      <c r="F417" t="s">
        <v>3786</v>
      </c>
      <c r="G417" t="s">
        <v>4954</v>
      </c>
    </row>
    <row r="418" spans="1:7" ht="11.25" customHeight="1">
      <c r="A418" t="s">
        <v>14</v>
      </c>
      <c r="B418" t="s">
        <v>4932</v>
      </c>
      <c r="C418" t="s">
        <v>4933</v>
      </c>
      <c r="D418" t="s">
        <v>4955</v>
      </c>
      <c r="E418" t="s">
        <v>4956</v>
      </c>
      <c r="F418" t="s">
        <v>3786</v>
      </c>
      <c r="G418" t="s">
        <v>4957</v>
      </c>
    </row>
    <row r="419" spans="1:7" ht="11.25" customHeight="1">
      <c r="A419" t="s">
        <v>14</v>
      </c>
      <c r="B419" t="s">
        <v>4932</v>
      </c>
      <c r="C419" t="s">
        <v>4933</v>
      </c>
      <c r="D419" t="s">
        <v>4958</v>
      </c>
      <c r="E419" t="s">
        <v>4959</v>
      </c>
      <c r="F419" t="s">
        <v>3786</v>
      </c>
      <c r="G419" t="s">
        <v>4960</v>
      </c>
    </row>
    <row r="420" spans="1:7" ht="11.25" customHeight="1">
      <c r="A420" t="s">
        <v>14</v>
      </c>
      <c r="B420" t="s">
        <v>4932</v>
      </c>
      <c r="C420" t="s">
        <v>4933</v>
      </c>
      <c r="D420" t="s">
        <v>4932</v>
      </c>
      <c r="E420" t="s">
        <v>4933</v>
      </c>
      <c r="F420" t="s">
        <v>3783</v>
      </c>
      <c r="G420" t="s">
        <v>4961</v>
      </c>
    </row>
    <row r="421" spans="1:7" ht="11.25" customHeight="1">
      <c r="A421" t="s">
        <v>14</v>
      </c>
      <c r="B421" t="s">
        <v>4962</v>
      </c>
      <c r="C421" t="s">
        <v>4963</v>
      </c>
      <c r="D421" t="s">
        <v>4962</v>
      </c>
      <c r="E421" t="s">
        <v>4963</v>
      </c>
      <c r="F421" t="s">
        <v>3780</v>
      </c>
      <c r="G421" t="s">
        <v>4964</v>
      </c>
    </row>
    <row r="422" spans="1:7" ht="11.25" customHeight="1">
      <c r="A422" t="s">
        <v>14</v>
      </c>
      <c r="B422" t="s">
        <v>4965</v>
      </c>
      <c r="C422" t="s">
        <v>4966</v>
      </c>
      <c r="D422" t="s">
        <v>4967</v>
      </c>
      <c r="E422" t="s">
        <v>4968</v>
      </c>
      <c r="F422" t="s">
        <v>3786</v>
      </c>
      <c r="G422" t="s">
        <v>4969</v>
      </c>
    </row>
    <row r="423" spans="1:7" ht="11.25" customHeight="1">
      <c r="A423" t="s">
        <v>14</v>
      </c>
      <c r="B423" t="s">
        <v>4965</v>
      </c>
      <c r="C423" t="s">
        <v>4966</v>
      </c>
      <c r="D423" t="s">
        <v>4970</v>
      </c>
      <c r="E423" t="s">
        <v>4971</v>
      </c>
      <c r="F423" t="s">
        <v>3786</v>
      </c>
      <c r="G423" t="s">
        <v>4972</v>
      </c>
    </row>
    <row r="424" spans="1:7" ht="11.25" customHeight="1">
      <c r="A424" t="s">
        <v>14</v>
      </c>
      <c r="B424" t="s">
        <v>4965</v>
      </c>
      <c r="C424" t="s">
        <v>4966</v>
      </c>
      <c r="D424" t="s">
        <v>4973</v>
      </c>
      <c r="E424" t="s">
        <v>4974</v>
      </c>
      <c r="F424" t="s">
        <v>3786</v>
      </c>
      <c r="G424" t="s">
        <v>4975</v>
      </c>
    </row>
    <row r="425" spans="1:7" ht="11.25" customHeight="1">
      <c r="A425" t="s">
        <v>14</v>
      </c>
      <c r="B425" t="s">
        <v>4965</v>
      </c>
      <c r="C425" t="s">
        <v>4966</v>
      </c>
      <c r="D425" t="s">
        <v>4976</v>
      </c>
      <c r="E425" t="s">
        <v>4977</v>
      </c>
      <c r="F425" t="s">
        <v>3793</v>
      </c>
      <c r="G425" t="s">
        <v>4978</v>
      </c>
    </row>
    <row r="426" spans="1:7" ht="11.25" customHeight="1">
      <c r="A426" t="s">
        <v>14</v>
      </c>
      <c r="B426" t="s">
        <v>4965</v>
      </c>
      <c r="C426" t="s">
        <v>4966</v>
      </c>
      <c r="D426" t="s">
        <v>4979</v>
      </c>
      <c r="E426" t="s">
        <v>4980</v>
      </c>
      <c r="F426" t="s">
        <v>3786</v>
      </c>
      <c r="G426" t="s">
        <v>4981</v>
      </c>
    </row>
    <row r="427" spans="1:7" ht="11.25" customHeight="1">
      <c r="A427" t="s">
        <v>14</v>
      </c>
      <c r="B427" t="s">
        <v>4965</v>
      </c>
      <c r="C427" t="s">
        <v>4966</v>
      </c>
      <c r="D427" t="s">
        <v>4982</v>
      </c>
      <c r="E427" t="s">
        <v>4983</v>
      </c>
      <c r="F427" t="s">
        <v>3786</v>
      </c>
      <c r="G427" t="s">
        <v>4984</v>
      </c>
    </row>
    <row r="428" spans="1:7" ht="11.25" customHeight="1">
      <c r="A428" t="s">
        <v>14</v>
      </c>
      <c r="B428" t="s">
        <v>4965</v>
      </c>
      <c r="C428" t="s">
        <v>4966</v>
      </c>
      <c r="D428" t="s">
        <v>4985</v>
      </c>
      <c r="E428" t="s">
        <v>4986</v>
      </c>
      <c r="F428" t="s">
        <v>3786</v>
      </c>
      <c r="G428" t="s">
        <v>4987</v>
      </c>
    </row>
    <row r="429" spans="1:7" ht="11.25" customHeight="1">
      <c r="A429" t="s">
        <v>14</v>
      </c>
      <c r="B429" t="s">
        <v>4965</v>
      </c>
      <c r="C429" t="s">
        <v>4966</v>
      </c>
      <c r="D429" t="s">
        <v>4965</v>
      </c>
      <c r="E429" t="s">
        <v>4966</v>
      </c>
      <c r="F429" t="s">
        <v>3783</v>
      </c>
      <c r="G429" t="s">
        <v>4988</v>
      </c>
    </row>
    <row r="430" spans="1:7" ht="11.25" customHeight="1">
      <c r="A430" t="s">
        <v>14</v>
      </c>
      <c r="B430" t="s">
        <v>4965</v>
      </c>
      <c r="C430" t="s">
        <v>4966</v>
      </c>
      <c r="D430" t="s">
        <v>4989</v>
      </c>
      <c r="E430" t="s">
        <v>4990</v>
      </c>
      <c r="F430" t="s">
        <v>3786</v>
      </c>
      <c r="G430" t="s">
        <v>4991</v>
      </c>
    </row>
    <row r="431" spans="1:7" ht="11.25" customHeight="1">
      <c r="A431" t="s">
        <v>14</v>
      </c>
      <c r="B431" t="s">
        <v>4992</v>
      </c>
      <c r="C431" t="s">
        <v>4993</v>
      </c>
      <c r="D431" t="s">
        <v>4992</v>
      </c>
      <c r="E431" t="s">
        <v>4993</v>
      </c>
      <c r="F431" t="s">
        <v>3780</v>
      </c>
      <c r="G431" t="s">
        <v>4994</v>
      </c>
    </row>
    <row r="432" spans="1:7" ht="11.25" customHeight="1">
      <c r="A432" t="s">
        <v>14</v>
      </c>
      <c r="B432" t="s">
        <v>4995</v>
      </c>
      <c r="C432" t="s">
        <v>4996</v>
      </c>
      <c r="D432" t="s">
        <v>4997</v>
      </c>
      <c r="E432" t="s">
        <v>4998</v>
      </c>
      <c r="F432" t="s">
        <v>3786</v>
      </c>
      <c r="G432" t="s">
        <v>4999</v>
      </c>
    </row>
    <row r="433" spans="1:7" ht="11.25" customHeight="1">
      <c r="A433" t="s">
        <v>14</v>
      </c>
      <c r="B433" t="s">
        <v>4995</v>
      </c>
      <c r="C433" t="s">
        <v>4996</v>
      </c>
      <c r="D433" t="s">
        <v>5000</v>
      </c>
      <c r="E433" t="s">
        <v>5001</v>
      </c>
      <c r="F433" t="s">
        <v>3786</v>
      </c>
      <c r="G433" t="s">
        <v>5002</v>
      </c>
    </row>
    <row r="434" spans="1:7" ht="11.25" customHeight="1">
      <c r="A434" t="s">
        <v>14</v>
      </c>
      <c r="B434" t="s">
        <v>4995</v>
      </c>
      <c r="C434" t="s">
        <v>4996</v>
      </c>
      <c r="D434" t="s">
        <v>5003</v>
      </c>
      <c r="E434" t="s">
        <v>5004</v>
      </c>
      <c r="F434" t="s">
        <v>3786</v>
      </c>
      <c r="G434" t="s">
        <v>5005</v>
      </c>
    </row>
    <row r="435" spans="1:7" ht="11.25" customHeight="1">
      <c r="A435" t="s">
        <v>14</v>
      </c>
      <c r="B435" t="s">
        <v>4995</v>
      </c>
      <c r="C435" t="s">
        <v>4996</v>
      </c>
      <c r="D435" t="s">
        <v>5006</v>
      </c>
      <c r="E435" t="s">
        <v>5007</v>
      </c>
      <c r="F435" t="s">
        <v>3786</v>
      </c>
      <c r="G435" t="s">
        <v>5008</v>
      </c>
    </row>
    <row r="436" spans="1:7" ht="11.25" customHeight="1">
      <c r="A436" t="s">
        <v>14</v>
      </c>
      <c r="B436" t="s">
        <v>4995</v>
      </c>
      <c r="C436" t="s">
        <v>4996</v>
      </c>
      <c r="D436" t="s">
        <v>5009</v>
      </c>
      <c r="E436" t="s">
        <v>5010</v>
      </c>
      <c r="F436" t="s">
        <v>3793</v>
      </c>
      <c r="G436" t="s">
        <v>5011</v>
      </c>
    </row>
    <row r="437" spans="1:7" ht="11.25" customHeight="1">
      <c r="A437" t="s">
        <v>14</v>
      </c>
      <c r="B437" t="s">
        <v>4995</v>
      </c>
      <c r="C437" t="s">
        <v>4996</v>
      </c>
      <c r="D437" t="s">
        <v>5012</v>
      </c>
      <c r="E437" t="s">
        <v>5013</v>
      </c>
      <c r="F437" t="s">
        <v>3793</v>
      </c>
      <c r="G437" t="s">
        <v>5014</v>
      </c>
    </row>
    <row r="438" spans="1:7" ht="11.25" customHeight="1">
      <c r="A438" t="s">
        <v>14</v>
      </c>
      <c r="B438" t="s">
        <v>4995</v>
      </c>
      <c r="C438" t="s">
        <v>4996</v>
      </c>
      <c r="D438" t="s">
        <v>5015</v>
      </c>
      <c r="E438" t="s">
        <v>5016</v>
      </c>
      <c r="F438" t="s">
        <v>3786</v>
      </c>
      <c r="G438" t="s">
        <v>5017</v>
      </c>
    </row>
    <row r="439" spans="1:7" ht="11.25" customHeight="1">
      <c r="A439" t="s">
        <v>14</v>
      </c>
      <c r="B439" t="s">
        <v>4995</v>
      </c>
      <c r="C439" t="s">
        <v>4996</v>
      </c>
      <c r="D439" t="s">
        <v>5018</v>
      </c>
      <c r="E439" t="s">
        <v>5019</v>
      </c>
      <c r="F439" t="s">
        <v>3786</v>
      </c>
      <c r="G439" t="s">
        <v>5020</v>
      </c>
    </row>
    <row r="440" spans="1:7" ht="11.25" customHeight="1">
      <c r="A440" t="s">
        <v>14</v>
      </c>
      <c r="B440" t="s">
        <v>4995</v>
      </c>
      <c r="C440" t="s">
        <v>4996</v>
      </c>
      <c r="D440" t="s">
        <v>5021</v>
      </c>
      <c r="E440" t="s">
        <v>5022</v>
      </c>
      <c r="F440" t="s">
        <v>3786</v>
      </c>
      <c r="G440" t="s">
        <v>5023</v>
      </c>
    </row>
    <row r="441" spans="1:7" ht="11.25" customHeight="1">
      <c r="A441" t="s">
        <v>14</v>
      </c>
      <c r="B441" t="s">
        <v>4995</v>
      </c>
      <c r="C441" t="s">
        <v>4996</v>
      </c>
      <c r="D441" t="s">
        <v>5024</v>
      </c>
      <c r="E441" t="s">
        <v>5025</v>
      </c>
      <c r="F441" t="s">
        <v>3786</v>
      </c>
      <c r="G441" t="s">
        <v>5026</v>
      </c>
    </row>
    <row r="442" spans="1:7" ht="11.25" customHeight="1">
      <c r="A442" t="s">
        <v>14</v>
      </c>
      <c r="B442" t="s">
        <v>4995</v>
      </c>
      <c r="C442" t="s">
        <v>4996</v>
      </c>
      <c r="D442" t="s">
        <v>5027</v>
      </c>
      <c r="E442" t="s">
        <v>5028</v>
      </c>
      <c r="F442" t="s">
        <v>3786</v>
      </c>
      <c r="G442" t="s">
        <v>5029</v>
      </c>
    </row>
    <row r="443" spans="1:7" ht="11.25" customHeight="1">
      <c r="A443" t="s">
        <v>14</v>
      </c>
      <c r="B443" t="s">
        <v>4995</v>
      </c>
      <c r="C443" t="s">
        <v>4996</v>
      </c>
      <c r="D443" t="s">
        <v>4995</v>
      </c>
      <c r="E443" t="s">
        <v>4996</v>
      </c>
      <c r="F443" t="s">
        <v>3783</v>
      </c>
      <c r="G443" t="s">
        <v>5030</v>
      </c>
    </row>
    <row r="444" spans="1:7" ht="11.25" customHeight="1">
      <c r="A444" t="s">
        <v>14</v>
      </c>
      <c r="B444" t="s">
        <v>5031</v>
      </c>
      <c r="C444" t="s">
        <v>5032</v>
      </c>
      <c r="D444" t="s">
        <v>5031</v>
      </c>
      <c r="E444" t="s">
        <v>5032</v>
      </c>
      <c r="F444" t="s">
        <v>4099</v>
      </c>
      <c r="G444" t="s">
        <v>5033</v>
      </c>
    </row>
    <row r="445" spans="1:7" ht="11.25" customHeight="1">
      <c r="A445" t="s">
        <v>14</v>
      </c>
      <c r="B445" t="s">
        <v>5034</v>
      </c>
      <c r="C445" t="s">
        <v>5035</v>
      </c>
      <c r="D445" t="s">
        <v>5034</v>
      </c>
      <c r="E445" t="s">
        <v>5035</v>
      </c>
      <c r="F445" t="s">
        <v>4099</v>
      </c>
      <c r="G445" t="s">
        <v>5036</v>
      </c>
    </row>
    <row r="446" spans="1:7" ht="11.25" customHeight="1">
      <c r="A446" t="s">
        <v>14</v>
      </c>
      <c r="B446" t="s">
        <v>5037</v>
      </c>
      <c r="C446" t="s">
        <v>5038</v>
      </c>
      <c r="D446" t="s">
        <v>5037</v>
      </c>
      <c r="E446" t="s">
        <v>5038</v>
      </c>
      <c r="F446" t="s">
        <v>4099</v>
      </c>
      <c r="G446" t="s">
        <v>5039</v>
      </c>
    </row>
    <row r="447" spans="1:7" ht="11.25" customHeight="1">
      <c r="A447" t="s">
        <v>14</v>
      </c>
      <c r="B447" t="s">
        <v>5040</v>
      </c>
      <c r="C447" t="s">
        <v>5041</v>
      </c>
      <c r="D447" t="s">
        <v>5040</v>
      </c>
      <c r="E447" t="s">
        <v>5041</v>
      </c>
      <c r="F447" t="s">
        <v>4099</v>
      </c>
      <c r="G447" t="s">
        <v>5042</v>
      </c>
    </row>
    <row r="448" spans="1:7" ht="11.25" customHeight="1">
      <c r="A448" t="s">
        <v>14</v>
      </c>
      <c r="B448" t="s">
        <v>5043</v>
      </c>
      <c r="C448" t="s">
        <v>5044</v>
      </c>
      <c r="D448" t="s">
        <v>5043</v>
      </c>
      <c r="E448" t="s">
        <v>5044</v>
      </c>
      <c r="F448" t="s">
        <v>4099</v>
      </c>
      <c r="G448" t="s">
        <v>5045</v>
      </c>
    </row>
    <row r="449" spans="1:7" ht="11.25" customHeight="1">
      <c r="A449" t="s">
        <v>14</v>
      </c>
      <c r="B449" t="s">
        <v>5046</v>
      </c>
      <c r="C449" t="s">
        <v>5047</v>
      </c>
      <c r="D449" t="s">
        <v>5046</v>
      </c>
      <c r="E449" t="s">
        <v>5047</v>
      </c>
      <c r="F449" t="s">
        <v>4099</v>
      </c>
      <c r="G449" t="s">
        <v>5048</v>
      </c>
    </row>
    <row r="450" spans="1:7" ht="11.25" customHeight="1">
      <c r="A450" t="s">
        <v>14</v>
      </c>
      <c r="B450" t="s">
        <v>5049</v>
      </c>
      <c r="C450" t="s">
        <v>5050</v>
      </c>
      <c r="D450" t="s">
        <v>5049</v>
      </c>
      <c r="E450" t="s">
        <v>5050</v>
      </c>
      <c r="F450" t="s">
        <v>4099</v>
      </c>
      <c r="G450" t="s">
        <v>5051</v>
      </c>
    </row>
    <row r="451" spans="1:7" ht="11.25" customHeight="1">
      <c r="A451" t="s">
        <v>14</v>
      </c>
      <c r="B451" t="s">
        <v>5052</v>
      </c>
      <c r="C451" t="s">
        <v>5053</v>
      </c>
      <c r="D451" t="s">
        <v>5052</v>
      </c>
      <c r="E451" t="s">
        <v>5053</v>
      </c>
      <c r="F451" t="s">
        <v>4099</v>
      </c>
      <c r="G451" t="s">
        <v>5054</v>
      </c>
    </row>
    <row r="452" spans="1:7" ht="11.25" customHeight="1">
      <c r="A452" t="s">
        <v>14</v>
      </c>
      <c r="B452" t="s">
        <v>5055</v>
      </c>
      <c r="C452" t="s">
        <v>5056</v>
      </c>
      <c r="D452" t="s">
        <v>5055</v>
      </c>
      <c r="E452" t="s">
        <v>5056</v>
      </c>
      <c r="F452" t="s">
        <v>4099</v>
      </c>
      <c r="G452" t="s">
        <v>5057</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447FB5-00C6-BF86-A593-1390AAF10EC1}">
  <sheetPr>
    <tabColor rgb="FFFFCC99"/>
  </sheetPr>
  <dimension ref="A1:D72"/>
  <sheetViews>
    <sheetView showGridLines="0" workbookViewId="0"/>
  </sheetViews>
  <sheetFormatPr defaultColWidth="9.140625" defaultRowHeight="11.25" customHeight="1"/>
  <cols>
    <col min="1" max="4" width="9.140625" style="40"/>
  </cols>
  <sheetData>
    <row r="1" spans="1:4" ht="11.25" customHeight="1">
      <c r="A1" s="40" t="s">
        <v>5058</v>
      </c>
      <c r="B1" s="40" t="s">
        <v>5059</v>
      </c>
      <c r="C1" s="40" t="s">
        <v>5060</v>
      </c>
      <c r="D1" s="40" t="s">
        <v>5061</v>
      </c>
    </row>
    <row r="2" spans="1:4" ht="11.25" customHeight="1">
      <c r="A2" s="40" t="s">
        <v>109</v>
      </c>
      <c r="B2" s="40" t="s">
        <v>5062</v>
      </c>
      <c r="C2" s="40" t="s">
        <v>5063</v>
      </c>
      <c r="D2" s="40" t="s">
        <v>5064</v>
      </c>
    </row>
    <row r="3" spans="1:4" ht="11.25" customHeight="1">
      <c r="A3" s="40" t="s">
        <v>110</v>
      </c>
      <c r="B3" s="40" t="s">
        <v>5065</v>
      </c>
      <c r="C3" s="40" t="s">
        <v>5066</v>
      </c>
      <c r="D3" s="40" t="s">
        <v>5064</v>
      </c>
    </row>
    <row r="4" spans="1:4" ht="11.25" customHeight="1">
      <c r="A4" s="40" t="s">
        <v>90</v>
      </c>
      <c r="B4" s="40" t="s">
        <v>5067</v>
      </c>
      <c r="C4" s="40" t="s">
        <v>5068</v>
      </c>
      <c r="D4" s="40" t="s">
        <v>5069</v>
      </c>
    </row>
    <row r="5" spans="1:4" ht="11.25" customHeight="1">
      <c r="A5" s="40" t="s">
        <v>91</v>
      </c>
      <c r="B5" s="40" t="s">
        <v>5070</v>
      </c>
      <c r="C5" s="40" t="s">
        <v>5071</v>
      </c>
      <c r="D5" s="40" t="s">
        <v>5072</v>
      </c>
    </row>
    <row r="6" spans="1:4" ht="11.25" customHeight="1">
      <c r="A6" s="40" t="s">
        <v>111</v>
      </c>
      <c r="B6" s="40" t="s">
        <v>5073</v>
      </c>
      <c r="C6" s="40" t="s">
        <v>5071</v>
      </c>
      <c r="D6" s="40" t="s">
        <v>5064</v>
      </c>
    </row>
    <row r="7" spans="1:4" ht="11.25" customHeight="1">
      <c r="A7" s="40" t="s">
        <v>92</v>
      </c>
      <c r="B7" s="40" t="s">
        <v>5074</v>
      </c>
      <c r="C7" s="40" t="s">
        <v>5075</v>
      </c>
      <c r="D7" s="40" t="s">
        <v>5076</v>
      </c>
    </row>
    <row r="8" spans="1:4" ht="11.25" customHeight="1">
      <c r="A8" s="40" t="s">
        <v>93</v>
      </c>
      <c r="B8" s="40" t="s">
        <v>5077</v>
      </c>
      <c r="C8" s="40" t="s">
        <v>5075</v>
      </c>
      <c r="D8" s="40" t="s">
        <v>5078</v>
      </c>
    </row>
    <row r="9" spans="1:4" ht="11.25" customHeight="1">
      <c r="A9" s="40" t="s">
        <v>112</v>
      </c>
      <c r="B9" s="40" t="s">
        <v>5079</v>
      </c>
      <c r="C9" s="40" t="s">
        <v>5075</v>
      </c>
      <c r="D9" s="40" t="s">
        <v>5078</v>
      </c>
    </row>
    <row r="10" spans="1:4" ht="11.25" customHeight="1">
      <c r="A10" s="40" t="s">
        <v>149</v>
      </c>
      <c r="B10" s="40" t="s">
        <v>5080</v>
      </c>
      <c r="C10" s="40" t="s">
        <v>5075</v>
      </c>
      <c r="D10" s="40" t="s">
        <v>5081</v>
      </c>
    </row>
    <row r="11" spans="1:4" ht="11.25" customHeight="1">
      <c r="A11" s="40" t="s">
        <v>150</v>
      </c>
      <c r="B11" s="40" t="s">
        <v>5082</v>
      </c>
      <c r="C11" s="40" t="s">
        <v>5068</v>
      </c>
      <c r="D11" s="40" t="s">
        <v>5069</v>
      </c>
    </row>
    <row r="12" spans="1:4" ht="11.25" customHeight="1">
      <c r="A12" s="40" t="s">
        <v>151</v>
      </c>
      <c r="B12" s="40" t="s">
        <v>5083</v>
      </c>
      <c r="C12" s="40" t="s">
        <v>5084</v>
      </c>
      <c r="D12" s="40" t="s">
        <v>5085</v>
      </c>
    </row>
    <row r="13" spans="1:4" ht="11.25" customHeight="1">
      <c r="A13" s="40" t="s">
        <v>152</v>
      </c>
      <c r="B13" s="40" t="s">
        <v>5086</v>
      </c>
      <c r="C13" s="40" t="s">
        <v>5087</v>
      </c>
      <c r="D13" s="40" t="s">
        <v>5088</v>
      </c>
    </row>
    <row r="14" spans="1:4" ht="11.25" customHeight="1">
      <c r="A14" s="40" t="s">
        <v>153</v>
      </c>
      <c r="B14" s="40" t="s">
        <v>5089</v>
      </c>
      <c r="C14" s="40" t="s">
        <v>5087</v>
      </c>
      <c r="D14" s="40" t="s">
        <v>5088</v>
      </c>
    </row>
    <row r="15" spans="1:4" ht="11.25" customHeight="1">
      <c r="A15" s="40" t="s">
        <v>154</v>
      </c>
      <c r="B15" s="40" t="s">
        <v>5090</v>
      </c>
      <c r="C15" s="40" t="s">
        <v>5091</v>
      </c>
      <c r="D15" s="40" t="s">
        <v>5092</v>
      </c>
    </row>
    <row r="16" spans="1:4" ht="11.25" customHeight="1">
      <c r="A16" s="40" t="s">
        <v>696</v>
      </c>
      <c r="B16" s="40" t="s">
        <v>5093</v>
      </c>
      <c r="C16" s="40" t="s">
        <v>5091</v>
      </c>
      <c r="D16" s="40" t="s">
        <v>5092</v>
      </c>
    </row>
    <row r="17" spans="1:4" ht="11.25" customHeight="1">
      <c r="A17" s="40" t="s">
        <v>398</v>
      </c>
      <c r="B17" s="40" t="s">
        <v>5094</v>
      </c>
      <c r="C17" s="40" t="s">
        <v>5091</v>
      </c>
      <c r="D17" s="40" t="s">
        <v>5092</v>
      </c>
    </row>
    <row r="18" spans="1:4" ht="11.25" customHeight="1">
      <c r="A18" s="40" t="s">
        <v>705</v>
      </c>
      <c r="B18" s="40" t="s">
        <v>5095</v>
      </c>
      <c r="C18" s="40" t="s">
        <v>5087</v>
      </c>
      <c r="D18" s="40" t="s">
        <v>5078</v>
      </c>
    </row>
    <row r="19" spans="1:4" ht="11.25" customHeight="1">
      <c r="A19" s="40" t="s">
        <v>709</v>
      </c>
      <c r="B19" s="40" t="s">
        <v>5096</v>
      </c>
      <c r="C19" s="40" t="s">
        <v>5087</v>
      </c>
      <c r="D19" s="40" t="s">
        <v>5078</v>
      </c>
    </row>
    <row r="20" spans="1:4" ht="11.25" customHeight="1">
      <c r="A20" s="40" t="s">
        <v>460</v>
      </c>
      <c r="B20" s="40" t="s">
        <v>5097</v>
      </c>
      <c r="C20" s="40" t="s">
        <v>5098</v>
      </c>
      <c r="D20" s="40" t="s">
        <v>5099</v>
      </c>
    </row>
    <row r="21" spans="1:4" ht="11.25" customHeight="1">
      <c r="A21" s="40" t="s">
        <v>1073</v>
      </c>
      <c r="B21" s="40" t="s">
        <v>5100</v>
      </c>
      <c r="C21" s="40" t="s">
        <v>5098</v>
      </c>
      <c r="D21" s="40" t="s">
        <v>5076</v>
      </c>
    </row>
    <row r="22" spans="1:4" ht="11.25" customHeight="1">
      <c r="A22" s="40" t="s">
        <v>1088</v>
      </c>
      <c r="B22" s="40" t="s">
        <v>5101</v>
      </c>
      <c r="C22" s="40" t="s">
        <v>5084</v>
      </c>
      <c r="D22" s="40" t="s">
        <v>5085</v>
      </c>
    </row>
    <row r="23" spans="1:4" ht="11.25" customHeight="1">
      <c r="A23" s="40" t="s">
        <v>1094</v>
      </c>
      <c r="B23" s="40" t="s">
        <v>5102</v>
      </c>
      <c r="C23" s="40" t="s">
        <v>5087</v>
      </c>
      <c r="D23" s="40" t="s">
        <v>5099</v>
      </c>
    </row>
    <row r="24" spans="1:4" ht="11.25" customHeight="1">
      <c r="A24" s="40" t="s">
        <v>1100</v>
      </c>
      <c r="B24" s="40" t="s">
        <v>5103</v>
      </c>
      <c r="C24" s="40" t="s">
        <v>5091</v>
      </c>
      <c r="D24" s="40" t="s">
        <v>5104</v>
      </c>
    </row>
    <row r="25" spans="1:4" ht="11.25" customHeight="1">
      <c r="A25" s="40" t="s">
        <v>473</v>
      </c>
      <c r="B25" s="40" t="s">
        <v>5105</v>
      </c>
      <c r="C25" s="40" t="s">
        <v>5091</v>
      </c>
      <c r="D25" s="40" t="s">
        <v>5092</v>
      </c>
    </row>
    <row r="26" spans="1:4" ht="11.25" customHeight="1">
      <c r="A26" s="40" t="s">
        <v>472</v>
      </c>
      <c r="B26" s="40" t="s">
        <v>5106</v>
      </c>
      <c r="C26" s="40" t="s">
        <v>5091</v>
      </c>
      <c r="D26" s="40" t="s">
        <v>5104</v>
      </c>
    </row>
    <row r="27" spans="1:4" ht="11.25" customHeight="1">
      <c r="A27" s="40" t="s">
        <v>720</v>
      </c>
      <c r="B27" s="40" t="s">
        <v>5107</v>
      </c>
      <c r="C27" s="40" t="s">
        <v>5091</v>
      </c>
      <c r="D27" s="40" t="s">
        <v>5092</v>
      </c>
    </row>
    <row r="28" spans="1:4" ht="11.25" customHeight="1">
      <c r="A28" s="40" t="s">
        <v>455</v>
      </c>
      <c r="B28" s="40" t="s">
        <v>5108</v>
      </c>
      <c r="C28" s="40" t="s">
        <v>5091</v>
      </c>
      <c r="D28" s="40" t="s">
        <v>5109</v>
      </c>
    </row>
    <row r="29" spans="1:4" ht="11.25" customHeight="1">
      <c r="A29" s="40" t="s">
        <v>1122</v>
      </c>
      <c r="B29" s="40" t="s">
        <v>5110</v>
      </c>
      <c r="C29" s="40" t="s">
        <v>5091</v>
      </c>
      <c r="D29" s="40" t="s">
        <v>5069</v>
      </c>
    </row>
    <row r="30" spans="1:4" ht="11.25" customHeight="1">
      <c r="A30" s="40" t="s">
        <v>1125</v>
      </c>
      <c r="B30" s="40" t="s">
        <v>5111</v>
      </c>
      <c r="C30" s="40" t="s">
        <v>5087</v>
      </c>
      <c r="D30" s="40" t="s">
        <v>5112</v>
      </c>
    </row>
    <row r="31" spans="1:4" ht="11.25" customHeight="1">
      <c r="A31" s="40" t="s">
        <v>1131</v>
      </c>
      <c r="B31" s="40" t="s">
        <v>5113</v>
      </c>
      <c r="C31" s="40" t="s">
        <v>5091</v>
      </c>
      <c r="D31" s="40" t="s">
        <v>5076</v>
      </c>
    </row>
    <row r="32" spans="1:4" ht="11.25" customHeight="1">
      <c r="A32" s="40" t="s">
        <v>1133</v>
      </c>
      <c r="B32" s="40" t="s">
        <v>5114</v>
      </c>
      <c r="C32" s="40" t="s">
        <v>5091</v>
      </c>
      <c r="D32" s="40" t="s">
        <v>5115</v>
      </c>
    </row>
    <row r="33" spans="1:4" ht="11.25" customHeight="1">
      <c r="A33" s="40" t="s">
        <v>1135</v>
      </c>
      <c r="B33" s="40" t="s">
        <v>5116</v>
      </c>
      <c r="C33" s="40" t="s">
        <v>5091</v>
      </c>
      <c r="D33" s="40" t="s">
        <v>5085</v>
      </c>
    </row>
    <row r="34" spans="1:4" ht="11.25" customHeight="1">
      <c r="A34" s="40" t="s">
        <v>1137</v>
      </c>
      <c r="B34" s="40" t="s">
        <v>5117</v>
      </c>
      <c r="C34" s="40" t="s">
        <v>5091</v>
      </c>
      <c r="D34" s="40" t="s">
        <v>5076</v>
      </c>
    </row>
    <row r="35" spans="1:4" ht="11.25" customHeight="1">
      <c r="A35" s="40" t="s">
        <v>1142</v>
      </c>
      <c r="B35" s="40" t="s">
        <v>5118</v>
      </c>
      <c r="C35" s="40" t="s">
        <v>5087</v>
      </c>
      <c r="D35" s="40" t="s">
        <v>5119</v>
      </c>
    </row>
    <row r="36" spans="1:4" ht="11.25" customHeight="1">
      <c r="A36" s="40" t="s">
        <v>1147</v>
      </c>
      <c r="B36" s="40" t="s">
        <v>5120</v>
      </c>
      <c r="C36" s="40" t="s">
        <v>5087</v>
      </c>
      <c r="D36" s="40" t="s">
        <v>5112</v>
      </c>
    </row>
    <row r="37" spans="1:4" ht="11.25" customHeight="1">
      <c r="A37" s="40" t="s">
        <v>1150</v>
      </c>
      <c r="B37" s="40" t="s">
        <v>5121</v>
      </c>
      <c r="C37" s="40" t="s">
        <v>5091</v>
      </c>
      <c r="D37" s="40" t="s">
        <v>5099</v>
      </c>
    </row>
    <row r="38" spans="1:4" ht="11.25" customHeight="1">
      <c r="A38" s="40" t="s">
        <v>1158</v>
      </c>
      <c r="B38" s="40" t="s">
        <v>5122</v>
      </c>
      <c r="C38" s="40" t="s">
        <v>5091</v>
      </c>
      <c r="D38" s="40" t="s">
        <v>5099</v>
      </c>
    </row>
    <row r="39" spans="1:4" ht="11.25" customHeight="1">
      <c r="A39" s="40" t="s">
        <v>1164</v>
      </c>
      <c r="B39" s="40" t="s">
        <v>5123</v>
      </c>
      <c r="C39" s="40" t="s">
        <v>5091</v>
      </c>
      <c r="D39" s="40" t="s">
        <v>5078</v>
      </c>
    </row>
    <row r="40" spans="1:4" ht="11.25" customHeight="1">
      <c r="A40" s="40" t="s">
        <v>1170</v>
      </c>
      <c r="B40" s="40" t="s">
        <v>5124</v>
      </c>
      <c r="C40" s="40" t="s">
        <v>5091</v>
      </c>
      <c r="D40" s="40" t="s">
        <v>5078</v>
      </c>
    </row>
    <row r="41" spans="1:4" ht="11.25" customHeight="1">
      <c r="A41" s="40" t="s">
        <v>1176</v>
      </c>
      <c r="B41" s="40" t="s">
        <v>5125</v>
      </c>
      <c r="C41" s="40" t="s">
        <v>5087</v>
      </c>
      <c r="D41" s="40" t="s">
        <v>5126</v>
      </c>
    </row>
    <row r="42" spans="1:4" ht="11.25" customHeight="1">
      <c r="A42" s="40" t="s">
        <v>1181</v>
      </c>
      <c r="B42" s="40" t="s">
        <v>5127</v>
      </c>
      <c r="C42" s="40" t="s">
        <v>5091</v>
      </c>
      <c r="D42" s="40" t="s">
        <v>5078</v>
      </c>
    </row>
    <row r="43" spans="1:4" ht="11.25" customHeight="1">
      <c r="A43" s="40" t="s">
        <v>1188</v>
      </c>
      <c r="B43" s="40" t="s">
        <v>5128</v>
      </c>
      <c r="C43" s="40" t="s">
        <v>5129</v>
      </c>
      <c r="D43" s="40" t="s">
        <v>5104</v>
      </c>
    </row>
    <row r="44" spans="1:4" ht="11.25" customHeight="1">
      <c r="A44" s="40" t="s">
        <v>1197</v>
      </c>
      <c r="B44" s="40" t="s">
        <v>5130</v>
      </c>
      <c r="C44" s="40" t="s">
        <v>5131</v>
      </c>
      <c r="D44" s="40" t="s">
        <v>5132</v>
      </c>
    </row>
    <row r="45" spans="1:4" ht="11.25" customHeight="1">
      <c r="A45" s="40" t="s">
        <v>1203</v>
      </c>
      <c r="B45" s="40" t="s">
        <v>5133</v>
      </c>
      <c r="C45" s="40" t="s">
        <v>5131</v>
      </c>
      <c r="D45" s="40" t="s">
        <v>5132</v>
      </c>
    </row>
    <row r="46" spans="1:4" ht="11.25" customHeight="1">
      <c r="A46" s="40" t="s">
        <v>474</v>
      </c>
      <c r="B46" s="40" t="s">
        <v>5134</v>
      </c>
      <c r="C46" s="40" t="s">
        <v>5131</v>
      </c>
      <c r="D46" s="40" t="s">
        <v>5132</v>
      </c>
    </row>
    <row r="47" spans="1:4" ht="11.25" customHeight="1">
      <c r="A47" s="40" t="s">
        <v>1212</v>
      </c>
      <c r="B47" s="40" t="s">
        <v>5135</v>
      </c>
      <c r="C47" s="40" t="s">
        <v>5136</v>
      </c>
      <c r="D47" s="40" t="s">
        <v>5076</v>
      </c>
    </row>
    <row r="48" spans="1:4" ht="11.25" customHeight="1">
      <c r="A48" s="40" t="s">
        <v>721</v>
      </c>
      <c r="B48" s="40" t="s">
        <v>5137</v>
      </c>
      <c r="C48" s="40" t="s">
        <v>5136</v>
      </c>
      <c r="D48" s="40" t="s">
        <v>5078</v>
      </c>
    </row>
    <row r="49" spans="1:4" ht="11.25" customHeight="1">
      <c r="A49" s="40" t="s">
        <v>1221</v>
      </c>
      <c r="B49" s="40" t="s">
        <v>5138</v>
      </c>
      <c r="C49" s="40" t="s">
        <v>5139</v>
      </c>
      <c r="D49" s="40" t="s">
        <v>5076</v>
      </c>
    </row>
    <row r="50" spans="1:4" ht="11.25" customHeight="1">
      <c r="A50" s="40" t="s">
        <v>1225</v>
      </c>
      <c r="B50" s="40" t="s">
        <v>5140</v>
      </c>
      <c r="C50" s="40" t="s">
        <v>5141</v>
      </c>
      <c r="D50" s="40" t="s">
        <v>5142</v>
      </c>
    </row>
    <row r="51" spans="1:4" ht="11.25" customHeight="1">
      <c r="A51" s="40" t="s">
        <v>1229</v>
      </c>
      <c r="B51" s="40" t="s">
        <v>5143</v>
      </c>
      <c r="C51" s="40" t="s">
        <v>5141</v>
      </c>
      <c r="D51" s="40" t="s">
        <v>5088</v>
      </c>
    </row>
    <row r="52" spans="1:4" ht="11.25" customHeight="1">
      <c r="A52" s="40" t="s">
        <v>1233</v>
      </c>
      <c r="B52" s="40" t="s">
        <v>5144</v>
      </c>
      <c r="C52" s="40" t="s">
        <v>5139</v>
      </c>
      <c r="D52" s="40" t="s">
        <v>5145</v>
      </c>
    </row>
    <row r="53" spans="1:4" ht="11.25" customHeight="1">
      <c r="A53" s="40" t="s">
        <v>1235</v>
      </c>
      <c r="B53" s="40" t="s">
        <v>5146</v>
      </c>
      <c r="C53" s="40" t="s">
        <v>5136</v>
      </c>
      <c r="D53" s="40" t="s">
        <v>5099</v>
      </c>
    </row>
    <row r="54" spans="1:4" ht="11.25" customHeight="1">
      <c r="A54" s="40" t="s">
        <v>1238</v>
      </c>
      <c r="B54" s="40" t="s">
        <v>5147</v>
      </c>
      <c r="C54" s="40" t="s">
        <v>5148</v>
      </c>
      <c r="D54" s="40" t="s">
        <v>5149</v>
      </c>
    </row>
    <row r="55" spans="1:4" ht="11.25" customHeight="1">
      <c r="A55" s="40" t="s">
        <v>1242</v>
      </c>
      <c r="B55" s="40" t="s">
        <v>5150</v>
      </c>
      <c r="C55" s="40" t="s">
        <v>5148</v>
      </c>
      <c r="D55" s="40" t="s">
        <v>5149</v>
      </c>
    </row>
    <row r="56" spans="1:4" ht="11.25" customHeight="1">
      <c r="A56" s="40" t="s">
        <v>1245</v>
      </c>
      <c r="B56" s="40" t="s">
        <v>5151</v>
      </c>
      <c r="C56" s="40" t="s">
        <v>5152</v>
      </c>
      <c r="D56" s="40" t="s">
        <v>5099</v>
      </c>
    </row>
    <row r="57" spans="1:4" ht="11.25" customHeight="1">
      <c r="A57" s="40" t="s">
        <v>1248</v>
      </c>
      <c r="B57" s="40" t="s">
        <v>5153</v>
      </c>
      <c r="C57" s="40" t="s">
        <v>5154</v>
      </c>
      <c r="D57" s="40" t="s">
        <v>5085</v>
      </c>
    </row>
    <row r="58" spans="1:4" ht="11.25" customHeight="1">
      <c r="A58" s="40" t="s">
        <v>1251</v>
      </c>
      <c r="B58" s="40" t="s">
        <v>5155</v>
      </c>
      <c r="C58" s="40" t="s">
        <v>5136</v>
      </c>
      <c r="D58" s="40" t="s">
        <v>5156</v>
      </c>
    </row>
    <row r="59" spans="1:4" ht="11.25" customHeight="1">
      <c r="A59" s="40" t="s">
        <v>1255</v>
      </c>
      <c r="B59" s="40" t="s">
        <v>5157</v>
      </c>
      <c r="C59" s="40" t="s">
        <v>5136</v>
      </c>
      <c r="D59" s="40" t="s">
        <v>5156</v>
      </c>
    </row>
    <row r="60" spans="1:4" ht="11.25" customHeight="1">
      <c r="A60" s="40" t="s">
        <v>1258</v>
      </c>
      <c r="B60" s="40" t="s">
        <v>5158</v>
      </c>
      <c r="C60" s="40" t="s">
        <v>5159</v>
      </c>
      <c r="D60" s="40" t="s">
        <v>5104</v>
      </c>
    </row>
    <row r="61" spans="1:4" ht="11.25" customHeight="1">
      <c r="A61" s="40" t="s">
        <v>3905</v>
      </c>
      <c r="B61" s="40" t="s">
        <v>5160</v>
      </c>
      <c r="C61" s="40" t="s">
        <v>5161</v>
      </c>
      <c r="D61" s="40" t="s">
        <v>5081</v>
      </c>
    </row>
    <row r="62" spans="1:4" ht="11.25" customHeight="1">
      <c r="A62" s="40" t="s">
        <v>3906</v>
      </c>
      <c r="B62" s="40" t="s">
        <v>5162</v>
      </c>
      <c r="C62" s="40" t="s">
        <v>5141</v>
      </c>
      <c r="D62" s="40" t="s">
        <v>5076</v>
      </c>
    </row>
    <row r="63" spans="1:4" ht="11.25" customHeight="1">
      <c r="A63" s="40" t="s">
        <v>3909</v>
      </c>
      <c r="B63" s="40" t="s">
        <v>5163</v>
      </c>
      <c r="C63" s="40" t="s">
        <v>5164</v>
      </c>
      <c r="D63" s="40" t="s">
        <v>5092</v>
      </c>
    </row>
    <row r="64" spans="1:4" ht="11.25" customHeight="1">
      <c r="A64" s="40" t="s">
        <v>3912</v>
      </c>
      <c r="B64" s="40" t="s">
        <v>5165</v>
      </c>
      <c r="C64" s="40" t="s">
        <v>5139</v>
      </c>
      <c r="D64" s="40" t="s">
        <v>5119</v>
      </c>
    </row>
    <row r="65" spans="1:4" ht="11.25" customHeight="1">
      <c r="A65" s="40" t="s">
        <v>3915</v>
      </c>
      <c r="B65" s="40" t="s">
        <v>5166</v>
      </c>
      <c r="C65" s="40" t="s">
        <v>5139</v>
      </c>
      <c r="D65" s="40" t="s">
        <v>5145</v>
      </c>
    </row>
    <row r="66" spans="1:4" ht="11.25" customHeight="1">
      <c r="A66" s="40" t="s">
        <v>3918</v>
      </c>
      <c r="B66" s="40" t="s">
        <v>5167</v>
      </c>
      <c r="C66" s="40" t="s">
        <v>5139</v>
      </c>
      <c r="D66" s="40" t="s">
        <v>5064</v>
      </c>
    </row>
    <row r="67" spans="1:4" ht="11.25" customHeight="1">
      <c r="A67" s="40" t="s">
        <v>475</v>
      </c>
      <c r="B67" s="40" t="s">
        <v>5168</v>
      </c>
      <c r="C67" s="40" t="s">
        <v>5141</v>
      </c>
      <c r="D67" s="40" t="s">
        <v>5069</v>
      </c>
    </row>
    <row r="68" spans="1:4" ht="11.25" customHeight="1">
      <c r="A68" s="40" t="s">
        <v>3923</v>
      </c>
      <c r="B68" s="40" t="s">
        <v>5169</v>
      </c>
      <c r="C68" s="40" t="s">
        <v>5098</v>
      </c>
      <c r="D68" s="40" t="s">
        <v>5081</v>
      </c>
    </row>
    <row r="69" spans="1:4" ht="11.25" customHeight="1">
      <c r="A69" s="40" t="s">
        <v>722</v>
      </c>
      <c r="B69" s="40" t="s">
        <v>5170</v>
      </c>
      <c r="C69" s="40" t="s">
        <v>5091</v>
      </c>
      <c r="D69" s="40" t="s">
        <v>5171</v>
      </c>
    </row>
    <row r="70" spans="1:4" ht="11.25" customHeight="1">
      <c r="A70" s="40" t="s">
        <v>3928</v>
      </c>
      <c r="B70" s="40" t="s">
        <v>5172</v>
      </c>
      <c r="C70" s="40" t="s">
        <v>5091</v>
      </c>
      <c r="D70" s="40" t="s">
        <v>5171</v>
      </c>
    </row>
    <row r="71" spans="1:4" ht="11.25" customHeight="1">
      <c r="A71" s="40" t="s">
        <v>3931</v>
      </c>
      <c r="B71" s="40" t="s">
        <v>5173</v>
      </c>
      <c r="C71" s="40" t="s">
        <v>5098</v>
      </c>
      <c r="D71" s="40" t="s">
        <v>5081</v>
      </c>
    </row>
    <row r="72" spans="1:4" ht="11.25" customHeight="1">
      <c r="A72" s="40" t="s">
        <v>3934</v>
      </c>
      <c r="B72" s="40" t="s">
        <v>5174</v>
      </c>
      <c r="C72" s="40" t="s">
        <v>5098</v>
      </c>
      <c r="D72" s="40" t="s">
        <v>5081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B9C1EA-1469-087B-7AB1-CCAA21DCDCBB}">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E6534E-A135-E496-AFAC-DFB13277BDF8}">
  <sheetPr>
    <tabColor rgb="FFFFCC99"/>
  </sheetPr>
  <dimension ref="A1:B2"/>
  <sheetViews>
    <sheetView showGridLines="0" workbookViewId="0"/>
  </sheetViews>
  <sheetFormatPr defaultColWidth="9.140625" defaultRowHeight="11.25" customHeight="1"/>
  <cols>
    <col min="1" max="2" width="9.140625" style="3"/>
  </cols>
  <sheetData>
    <row r="1" spans="1:2" ht="11.25" customHeight="1">
      <c r="A1" s="3" t="s">
        <v>131</v>
      </c>
      <c r="B1" s="3" t="s">
        <v>5175</v>
      </c>
    </row>
    <row r="2" spans="1:2" ht="11.25" customHeight="1">
      <c r="A2" s="3" t="s">
        <v>98</v>
      </c>
      <c r="B2" s="3" t="s">
        <v>5176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AD6397-BA0A-3E03-8B53-DDCA08D70D01}">
  <sheetPr>
    <tabColor rgb="FFFFCC99"/>
  </sheetPr>
  <dimension ref="A1:B11"/>
  <sheetViews>
    <sheetView showGridLines="0" workbookViewId="0"/>
  </sheetViews>
  <sheetFormatPr defaultColWidth="9.140625" defaultRowHeight="11.25" customHeight="1"/>
  <cols>
    <col min="1" max="1" width="9.140625" style="40"/>
    <col min="2" max="2" width="65.28515625" style="40" customWidth="1"/>
  </cols>
  <sheetData>
    <row r="1" spans="1:2" ht="11.25" customHeight="1">
      <c r="A1" s="40" t="s">
        <v>5177</v>
      </c>
      <c r="B1" s="40" t="s">
        <v>5178</v>
      </c>
    </row>
    <row r="2" spans="1:2" ht="11.25" customHeight="1">
      <c r="A2" s="40">
        <v>4213775</v>
      </c>
      <c r="B2" s="40" t="s">
        <v>782</v>
      </c>
    </row>
    <row r="3" spans="1:2" ht="11.25" customHeight="1">
      <c r="A3" s="40">
        <v>4213784</v>
      </c>
      <c r="B3" s="40" t="s">
        <v>817</v>
      </c>
    </row>
    <row r="4" spans="1:2" ht="11.25" customHeight="1">
      <c r="A4" s="40">
        <v>4213781</v>
      </c>
      <c r="B4" s="40" t="s">
        <v>810</v>
      </c>
    </row>
    <row r="5" spans="1:2" ht="11.25" customHeight="1">
      <c r="A5" s="40">
        <v>4213776</v>
      </c>
      <c r="B5" s="40" t="s">
        <v>169</v>
      </c>
    </row>
    <row r="6" spans="1:2" ht="11.25" customHeight="1">
      <c r="A6" s="40">
        <v>4213777</v>
      </c>
      <c r="B6" s="40" t="s">
        <v>175</v>
      </c>
    </row>
    <row r="7" spans="1:2" ht="11.25" customHeight="1">
      <c r="A7" s="40">
        <v>4213778</v>
      </c>
      <c r="B7" s="40" t="s">
        <v>181</v>
      </c>
    </row>
    <row r="8" spans="1:2" ht="11.25" customHeight="1">
      <c r="A8" s="40">
        <v>4213780</v>
      </c>
      <c r="B8" s="40" t="s">
        <v>187</v>
      </c>
    </row>
    <row r="9" spans="1:2" ht="11.25" customHeight="1">
      <c r="A9" s="40">
        <v>4213779</v>
      </c>
      <c r="B9" s="40" t="s">
        <v>949</v>
      </c>
    </row>
    <row r="10" spans="1:2" ht="11.25" customHeight="1">
      <c r="A10" s="40">
        <v>4213783</v>
      </c>
      <c r="B10" s="40" t="s">
        <v>964</v>
      </c>
    </row>
    <row r="11" spans="1:2" ht="11.25" customHeight="1">
      <c r="A11" s="40">
        <v>4213782</v>
      </c>
      <c r="B11" s="40" t="s">
        <v>196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354527-8D51-BF56-173C-F183DF2CA27D}">
  <sheetPr>
    <tabColor rgb="FFFFCC99"/>
  </sheetPr>
  <dimension ref="A1:B11"/>
  <sheetViews>
    <sheetView showGridLines="0" workbookViewId="0"/>
  </sheetViews>
  <sheetFormatPr defaultColWidth="9.140625" defaultRowHeight="11.25" customHeight="1"/>
  <cols>
    <col min="1" max="1" width="9.140625" style="40"/>
    <col min="2" max="2" width="65.28515625" style="40" customWidth="1"/>
  </cols>
  <sheetData>
    <row r="1" spans="1:2" ht="11.25" customHeight="1">
      <c r="A1" s="40" t="s">
        <v>5177</v>
      </c>
      <c r="B1" s="40" t="s">
        <v>5179</v>
      </c>
    </row>
    <row r="2" spans="1:2" ht="11.25" customHeight="1">
      <c r="A2" s="40" t="s">
        <v>118</v>
      </c>
      <c r="B2" s="40" t="s">
        <v>1058</v>
      </c>
    </row>
    <row r="3" spans="1:2" ht="11.25" customHeight="1">
      <c r="A3" s="40" t="s">
        <v>5180</v>
      </c>
      <c r="B3" s="40" t="s">
        <v>1067</v>
      </c>
    </row>
    <row r="4" spans="1:2" ht="11.25" customHeight="1">
      <c r="A4" s="40" t="s">
        <v>5181</v>
      </c>
      <c r="B4" s="40" t="s">
        <v>1077</v>
      </c>
    </row>
    <row r="5" spans="1:2" ht="11.25" customHeight="1">
      <c r="A5" s="40" t="s">
        <v>5182</v>
      </c>
      <c r="B5" s="40" t="s">
        <v>1086</v>
      </c>
    </row>
    <row r="6" spans="1:2" ht="11.25" customHeight="1">
      <c r="A6" s="40" t="s">
        <v>5183</v>
      </c>
      <c r="B6" s="40" t="s">
        <v>1091</v>
      </c>
    </row>
    <row r="7" spans="1:2" ht="11.25" customHeight="1">
      <c r="A7" s="40" t="s">
        <v>5184</v>
      </c>
      <c r="B7" s="40" t="s">
        <v>1098</v>
      </c>
    </row>
    <row r="8" spans="1:2" ht="11.25" customHeight="1">
      <c r="A8" s="40" t="s">
        <v>5185</v>
      </c>
      <c r="B8" s="40" t="s">
        <v>1103</v>
      </c>
    </row>
    <row r="9" spans="1:2" ht="11.25" customHeight="1">
      <c r="A9" s="40" t="s">
        <v>5186</v>
      </c>
      <c r="B9" s="40" t="s">
        <v>1107</v>
      </c>
    </row>
    <row r="10" spans="1:2" ht="11.25" customHeight="1">
      <c r="A10" s="40" t="s">
        <v>5187</v>
      </c>
      <c r="B10" s="40" t="s">
        <v>1111</v>
      </c>
    </row>
    <row r="11" spans="1:2" ht="11.25" customHeight="1">
      <c r="A11" s="40" t="s">
        <v>5188</v>
      </c>
      <c r="B11" s="40" t="s">
        <v>1117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DC7284-57FA-D54D-67F3-BB7556DC1DE4}">
  <sheetPr>
    <tabColor theme="3" tint="0.59999389629810485"/>
  </sheetPr>
  <dimension ref="A1:AS14"/>
  <sheetViews>
    <sheetView showGridLines="0" topLeftCell="C3" zoomScale="90" workbookViewId="0"/>
  </sheetViews>
  <sheetFormatPr defaultColWidth="10.5703125" defaultRowHeight="14.25" customHeight="1"/>
  <cols>
    <col min="1" max="1" width="9.140625" style="54" hidden="1" customWidth="1"/>
    <col min="2" max="2" width="9.140625" style="24" hidden="1" customWidth="1"/>
    <col min="3" max="3" width="3.7109375" style="86" customWidth="1"/>
    <col min="4" max="4" width="5.5703125" style="24" customWidth="1"/>
    <col min="5" max="5" width="48.42578125" style="24" customWidth="1"/>
    <col min="6" max="6" width="38.140625" style="24" customWidth="1"/>
    <col min="7" max="7" width="1.7109375" style="24" hidden="1" customWidth="1"/>
    <col min="8" max="11" width="19.85546875" style="24" customWidth="1"/>
    <col min="12" max="12" width="9.7109375" style="24" customWidth="1"/>
    <col min="13" max="18" width="19.85546875" style="24" customWidth="1"/>
    <col min="19" max="19" width="1.7109375" style="24" hidden="1" customWidth="1"/>
    <col min="20" max="22" width="19.85546875" style="24" hidden="1" customWidth="1"/>
    <col min="23" max="23" width="1.7109375" style="24" hidden="1" customWidth="1"/>
    <col min="24" max="26" width="19.85546875" style="24" hidden="1" customWidth="1"/>
    <col min="27" max="27" width="1.7109375" style="24" hidden="1" customWidth="1"/>
    <col min="28" max="29" width="19.85546875" style="24" hidden="1" customWidth="1"/>
    <col min="30" max="30" width="1.7109375" style="24" hidden="1" customWidth="1"/>
    <col min="31" max="31" width="103.7109375" style="24" customWidth="1"/>
    <col min="32" max="34" width="103.7109375" style="24" hidden="1" customWidth="1"/>
    <col min="35" max="35" width="3.7109375" style="55" customWidth="1"/>
    <col min="36" max="38" width="10.5703125" style="77"/>
    <col min="39" max="39" width="13.7109375" style="77" hidden="1" customWidth="1"/>
    <col min="40" max="40" width="15.42578125" style="77" customWidth="1"/>
    <col min="41" max="41" width="16.28515625" style="77" customWidth="1"/>
    <col min="42" max="45" width="10.5703125" style="77"/>
  </cols>
  <sheetData>
    <row r="1" spans="1:45" ht="14.25" hidden="1" customHeight="1">
      <c r="E1" s="257"/>
      <c r="F1" s="257"/>
      <c r="G1" s="257"/>
      <c r="H1" s="1231" t="s">
        <v>346</v>
      </c>
      <c r="I1" s="1231"/>
      <c r="J1" s="1231"/>
      <c r="K1" s="1231"/>
      <c r="L1" s="1231"/>
      <c r="M1" s="1231"/>
      <c r="N1" s="1231"/>
      <c r="O1" s="1231"/>
      <c r="P1" s="1231"/>
      <c r="Q1" s="1231"/>
      <c r="R1" s="1231"/>
      <c r="T1" s="1231" t="s">
        <v>347</v>
      </c>
      <c r="U1" s="1231"/>
      <c r="V1" s="1231"/>
      <c r="X1" s="1231" t="s">
        <v>348</v>
      </c>
      <c r="Y1" s="1231"/>
      <c r="Z1" s="1231"/>
      <c r="AB1" s="1231" t="s">
        <v>349</v>
      </c>
      <c r="AC1" s="1231"/>
    </row>
    <row r="2" spans="1:45" ht="14.25" hidden="1" customHeight="1"/>
    <row r="3" spans="1:45" s="430" customFormat="1" ht="6" customHeight="1">
      <c r="C3" s="431"/>
      <c r="D3" s="432"/>
      <c r="E3" s="432"/>
      <c r="F3" s="432"/>
      <c r="G3" s="432"/>
      <c r="H3" s="432" t="s">
        <v>350</v>
      </c>
      <c r="I3" s="432"/>
      <c r="J3" s="432"/>
      <c r="K3" s="432"/>
      <c r="L3" s="432"/>
      <c r="M3" s="432"/>
      <c r="N3" s="432"/>
      <c r="O3" s="432"/>
      <c r="P3" s="432"/>
      <c r="Q3" s="432"/>
      <c r="R3" s="432"/>
      <c r="S3" s="432"/>
      <c r="T3" s="432"/>
      <c r="U3" s="432"/>
      <c r="V3" s="432"/>
      <c r="W3" s="432"/>
      <c r="X3" s="432"/>
      <c r="Y3" s="432"/>
      <c r="Z3" s="432"/>
      <c r="AA3" s="432"/>
      <c r="AB3" s="432"/>
      <c r="AC3" s="432"/>
      <c r="AD3" s="432"/>
      <c r="AE3" s="432"/>
      <c r="AF3" s="432"/>
      <c r="AG3" s="432"/>
      <c r="AH3" s="432"/>
      <c r="AJ3" s="77"/>
      <c r="AK3" s="77"/>
      <c r="AL3" s="77"/>
      <c r="AM3" s="77"/>
      <c r="AN3" s="77"/>
      <c r="AO3" s="77"/>
      <c r="AP3" s="77"/>
      <c r="AQ3" s="77"/>
      <c r="AR3" s="77"/>
      <c r="AS3" s="77"/>
    </row>
    <row r="4" spans="1:45" ht="24" customHeight="1">
      <c r="C4" s="29"/>
      <c r="D4" s="1116" t="str">
        <f>"Форма 2. Общая информация об объектах "&amp;TEMPLATE_SPHERE_RUS&amp;" регулируемой организации"&amp;IF(TEMPLATE_SPHERE="HEAT",",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f>
        <v>Форма 2. Общая информация об объектах теплоснабжения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v>
      </c>
      <c r="E4" s="1117"/>
      <c r="F4" s="1117"/>
      <c r="G4" s="1117"/>
      <c r="H4" s="1117"/>
      <c r="I4" s="1117"/>
      <c r="J4" s="1117"/>
      <c r="K4" s="1117"/>
      <c r="L4" s="1117"/>
      <c r="M4" s="1117"/>
      <c r="N4" s="1117"/>
      <c r="O4" s="1117"/>
      <c r="P4" s="1117"/>
      <c r="Q4" s="1117"/>
      <c r="R4" s="1118"/>
      <c r="S4" s="525"/>
      <c r="T4" s="429"/>
      <c r="U4" s="429"/>
      <c r="V4" s="429"/>
      <c r="W4" s="429"/>
      <c r="X4" s="429"/>
      <c r="Y4" s="429"/>
      <c r="Z4" s="429"/>
      <c r="AA4" s="429"/>
      <c r="AB4" s="429"/>
      <c r="AC4" s="429"/>
      <c r="AD4" s="429"/>
      <c r="AE4" s="306"/>
      <c r="AF4" s="306"/>
      <c r="AG4" s="306"/>
      <c r="AH4" s="306"/>
      <c r="AI4" s="160"/>
    </row>
    <row r="5" spans="1:45" s="24" customFormat="1" ht="17.25" customHeight="1">
      <c r="A5" s="54"/>
      <c r="C5" s="29"/>
      <c r="D5" s="1228" t="str">
        <f>IF(org=0,"Не определено",org)</f>
        <v>ООО "ТЕПЛО ПЛЮС"</v>
      </c>
      <c r="E5" s="1229"/>
      <c r="F5" s="1229"/>
      <c r="G5" s="1229"/>
      <c r="H5" s="1229"/>
      <c r="I5" s="1229"/>
      <c r="J5" s="1229"/>
      <c r="K5" s="1229"/>
      <c r="L5" s="1229"/>
      <c r="M5" s="1229"/>
      <c r="N5" s="1229"/>
      <c r="O5" s="1229"/>
      <c r="P5" s="1229"/>
      <c r="Q5" s="1229"/>
      <c r="R5" s="1230"/>
      <c r="S5" s="525"/>
      <c r="T5" s="429"/>
      <c r="U5" s="429"/>
      <c r="V5" s="429"/>
      <c r="W5" s="429"/>
      <c r="X5" s="429"/>
      <c r="Y5" s="429"/>
      <c r="Z5" s="429"/>
      <c r="AA5" s="429"/>
      <c r="AB5" s="429"/>
      <c r="AC5" s="429"/>
      <c r="AD5" s="429"/>
      <c r="AE5" s="306"/>
      <c r="AF5" s="306"/>
      <c r="AG5" s="306"/>
      <c r="AH5" s="306"/>
      <c r="AI5" s="160"/>
      <c r="AJ5" s="77"/>
      <c r="AK5" s="77"/>
      <c r="AL5" s="77"/>
      <c r="AM5" s="77"/>
      <c r="AN5" s="77"/>
      <c r="AO5" s="77"/>
      <c r="AP5" s="77"/>
      <c r="AQ5" s="77"/>
      <c r="AR5" s="77"/>
      <c r="AS5" s="77"/>
    </row>
    <row r="6" spans="1:45" s="298" customFormat="1" ht="11.25" customHeight="1">
      <c r="A6" s="297"/>
      <c r="C6" s="304"/>
      <c r="D6" s="303"/>
      <c r="E6" s="303"/>
      <c r="F6" s="303"/>
      <c r="G6" s="303"/>
      <c r="H6" s="303"/>
      <c r="I6" s="303"/>
      <c r="J6" s="303"/>
      <c r="K6" s="303"/>
      <c r="L6" s="303"/>
      <c r="M6" s="303"/>
      <c r="N6" s="303"/>
      <c r="O6" s="303"/>
      <c r="P6" s="303"/>
      <c r="Q6" s="303"/>
      <c r="R6" s="463"/>
      <c r="S6" s="463"/>
      <c r="T6" s="303"/>
      <c r="U6" s="303"/>
      <c r="V6" s="436"/>
      <c r="W6" s="436"/>
      <c r="X6" s="303"/>
      <c r="Y6" s="303"/>
      <c r="Z6" s="436"/>
      <c r="AA6" s="436"/>
      <c r="AB6" s="303"/>
      <c r="AC6" s="436"/>
      <c r="AD6" s="436"/>
      <c r="AE6" s="303"/>
      <c r="AF6" s="303"/>
      <c r="AG6" s="303"/>
      <c r="AH6" s="303"/>
      <c r="AJ6" s="77"/>
      <c r="AK6" s="77"/>
      <c r="AL6" s="77"/>
      <c r="AM6" s="77"/>
      <c r="AN6" s="77"/>
      <c r="AO6" s="77"/>
      <c r="AP6" s="77"/>
      <c r="AQ6" s="77"/>
      <c r="AR6" s="77"/>
      <c r="AS6" s="77"/>
    </row>
    <row r="7" spans="1:45" ht="14.25" customHeight="1">
      <c r="C7" s="29"/>
      <c r="D7" s="1219" t="s">
        <v>292</v>
      </c>
      <c r="E7" s="1232"/>
      <c r="F7" s="1232"/>
      <c r="G7" s="1232"/>
      <c r="H7" s="1232"/>
      <c r="I7" s="1232"/>
      <c r="J7" s="1232"/>
      <c r="K7" s="1232"/>
      <c r="L7" s="1232"/>
      <c r="M7" s="1232"/>
      <c r="N7" s="1232"/>
      <c r="O7" s="1232"/>
      <c r="P7" s="1232"/>
      <c r="Q7" s="1232"/>
      <c r="R7" s="1232"/>
      <c r="S7" s="1232"/>
      <c r="T7" s="1232"/>
      <c r="U7" s="1232"/>
      <c r="V7" s="1232"/>
      <c r="W7" s="1232"/>
      <c r="X7" s="1232"/>
      <c r="Y7" s="1232"/>
      <c r="Z7" s="1232"/>
      <c r="AA7" s="1232"/>
      <c r="AB7" s="1232"/>
      <c r="AC7" s="1232"/>
      <c r="AD7" s="1233"/>
      <c r="AE7" s="1180" t="s">
        <v>293</v>
      </c>
      <c r="AF7" s="1180" t="s">
        <v>293</v>
      </c>
      <c r="AG7" s="1180" t="s">
        <v>293</v>
      </c>
      <c r="AH7" s="1180" t="s">
        <v>293</v>
      </c>
    </row>
    <row r="8" spans="1:45" ht="25.5" customHeight="1">
      <c r="C8" s="29"/>
      <c r="D8" s="1123" t="s">
        <v>88</v>
      </c>
      <c r="E8" s="1180" t="str">
        <f>"Наименование "&amp;IF(TEMPLATE_SPHERE&lt;&gt;"HEAT","централизованной ","")&amp;"системы "&amp;TEMPLATE_SPHERE_RUS</f>
        <v>Наименование системы теплоснабжения</v>
      </c>
      <c r="F8" s="1180" t="str">
        <f>IF(TEMPLATE_SPHERE&lt;&gt;"HEAT","Регулируемый вид деятельности","Вид регулируемой деятельности")</f>
        <v>Вид регулируемой деятельности</v>
      </c>
      <c r="G8" s="506"/>
      <c r="H8" s="1220" t="s">
        <v>351</v>
      </c>
      <c r="I8" s="1224" t="s">
        <v>352</v>
      </c>
      <c r="J8" s="1180" t="s">
        <v>353</v>
      </c>
      <c r="K8" s="1180"/>
      <c r="L8" s="1180"/>
      <c r="M8" s="1219"/>
      <c r="N8" s="1180" t="s">
        <v>354</v>
      </c>
      <c r="O8" s="1180"/>
      <c r="P8" s="1180" t="s">
        <v>355</v>
      </c>
      <c r="Q8" s="1180"/>
      <c r="R8" s="1222" t="s">
        <v>356</v>
      </c>
      <c r="S8" s="504"/>
      <c r="T8" s="1220" t="s">
        <v>357</v>
      </c>
      <c r="U8" s="1220" t="s">
        <v>358</v>
      </c>
      <c r="V8" s="1220" t="s">
        <v>359</v>
      </c>
      <c r="W8" s="506"/>
      <c r="X8" s="1220" t="s">
        <v>360</v>
      </c>
      <c r="Y8" s="1220" t="s">
        <v>361</v>
      </c>
      <c r="Z8" s="1220" t="s">
        <v>362</v>
      </c>
      <c r="AA8" s="506"/>
      <c r="AB8" s="1220" t="s">
        <v>363</v>
      </c>
      <c r="AC8" s="1220" t="s">
        <v>356</v>
      </c>
      <c r="AD8" s="506"/>
      <c r="AE8" s="1180"/>
      <c r="AF8" s="1180"/>
      <c r="AG8" s="1180"/>
      <c r="AH8" s="1180"/>
    </row>
    <row r="9" spans="1:45" ht="33.75" customHeight="1">
      <c r="C9" s="29"/>
      <c r="D9" s="1123"/>
      <c r="E9" s="1180"/>
      <c r="F9" s="1180"/>
      <c r="G9" s="507"/>
      <c r="H9" s="1221"/>
      <c r="I9" s="1225"/>
      <c r="J9" s="48" t="s">
        <v>364</v>
      </c>
      <c r="K9" s="48" t="s">
        <v>365</v>
      </c>
      <c r="L9" s="48" t="s">
        <v>366</v>
      </c>
      <c r="M9" s="261" t="s">
        <v>367</v>
      </c>
      <c r="N9" s="48" t="s">
        <v>368</v>
      </c>
      <c r="O9" s="48" t="s">
        <v>367</v>
      </c>
      <c r="P9" s="48" t="s">
        <v>369</v>
      </c>
      <c r="Q9" s="48" t="s">
        <v>367</v>
      </c>
      <c r="R9" s="1223"/>
      <c r="S9" s="505"/>
      <c r="T9" s="1221"/>
      <c r="U9" s="1221"/>
      <c r="V9" s="1221"/>
      <c r="W9" s="507"/>
      <c r="X9" s="1221"/>
      <c r="Y9" s="1221"/>
      <c r="Z9" s="1221"/>
      <c r="AA9" s="507"/>
      <c r="AB9" s="1221"/>
      <c r="AC9" s="1221"/>
      <c r="AD9" s="507"/>
      <c r="AE9" s="1180"/>
      <c r="AF9" s="1180"/>
      <c r="AG9" s="1180"/>
      <c r="AH9" s="1180"/>
    </row>
    <row r="10" spans="1:45" ht="12" hidden="1" customHeight="1">
      <c r="C10" s="305"/>
      <c r="D10" s="28"/>
      <c r="E10" s="28"/>
      <c r="F10" s="28"/>
      <c r="G10" s="28"/>
      <c r="H10" s="28"/>
      <c r="I10" s="28"/>
      <c r="J10" s="28"/>
      <c r="K10" s="28"/>
      <c r="L10" s="28"/>
      <c r="M10" s="28"/>
      <c r="N10" s="28"/>
      <c r="O10" s="28"/>
      <c r="P10" s="28"/>
      <c r="Q10" s="28"/>
      <c r="R10" s="28"/>
      <c r="S10" s="28"/>
      <c r="T10" s="28"/>
      <c r="U10" s="28"/>
      <c r="V10" s="28"/>
      <c r="W10" s="28"/>
      <c r="X10" s="28"/>
      <c r="Y10" s="28"/>
      <c r="Z10" s="28"/>
      <c r="AA10" s="28"/>
      <c r="AB10" s="28"/>
      <c r="AC10" s="28"/>
      <c r="AD10" s="28"/>
      <c r="AE10" s="28"/>
      <c r="AF10" s="28"/>
      <c r="AG10" s="28"/>
      <c r="AH10" s="28"/>
      <c r="AI10" s="24"/>
      <c r="AP10" s="79"/>
      <c r="AQ10" s="79"/>
    </row>
    <row r="11" spans="1:45" s="216" customFormat="1" ht="11.25" hidden="1" customHeight="1">
      <c r="C11" s="311"/>
      <c r="D11" s="312" t="s">
        <v>370</v>
      </c>
      <c r="E11" s="312"/>
      <c r="F11" s="312"/>
      <c r="G11" s="312"/>
      <c r="H11" s="310"/>
      <c r="I11" s="310"/>
      <c r="J11" s="310"/>
      <c r="K11" s="310"/>
      <c r="L11" s="310"/>
      <c r="M11" s="310"/>
      <c r="N11" s="310"/>
      <c r="O11" s="310"/>
      <c r="P11" s="310"/>
      <c r="Q11" s="310"/>
      <c r="R11" s="310"/>
      <c r="S11" s="310"/>
      <c r="T11" s="310"/>
      <c r="U11" s="310"/>
      <c r="V11" s="310"/>
      <c r="W11" s="310"/>
      <c r="X11" s="310"/>
      <c r="Y11" s="310"/>
      <c r="Z11" s="310"/>
      <c r="AA11" s="310"/>
      <c r="AB11" s="310"/>
      <c r="AC11" s="310"/>
      <c r="AD11" s="310"/>
      <c r="AE11" s="83"/>
      <c r="AF11" s="83"/>
      <c r="AG11" s="83"/>
      <c r="AH11" s="83"/>
      <c r="AJ11" s="77"/>
      <c r="AK11" s="77"/>
      <c r="AL11" s="77"/>
      <c r="AM11" s="77"/>
      <c r="AN11" s="77"/>
      <c r="AO11" s="77"/>
      <c r="AP11" s="77"/>
      <c r="AQ11" s="77"/>
      <c r="AR11" s="77"/>
      <c r="AS11" s="77"/>
    </row>
    <row r="12" spans="1:45" ht="14.25" customHeight="1">
      <c r="A12" s="24"/>
      <c r="C12" s="29"/>
      <c r="D12" s="265" t="s">
        <v>109</v>
      </c>
      <c r="E12" s="549" t="s">
        <v>17</v>
      </c>
      <c r="F12" s="527"/>
      <c r="G12" s="528"/>
      <c r="H12" s="264"/>
      <c r="I12" s="264"/>
      <c r="J12" s="264"/>
      <c r="K12" s="263"/>
      <c r="L12" s="262"/>
      <c r="M12" s="263"/>
      <c r="N12" s="264"/>
      <c r="O12" s="263"/>
      <c r="P12" s="264"/>
      <c r="Q12" s="263"/>
      <c r="R12" s="264"/>
      <c r="S12" s="526"/>
      <c r="T12" s="264"/>
      <c r="U12" s="264"/>
      <c r="V12" s="264"/>
      <c r="W12" s="507"/>
      <c r="X12" s="264"/>
      <c r="Y12" s="264"/>
      <c r="Z12" s="264"/>
      <c r="AA12" s="507"/>
      <c r="AB12" s="264"/>
      <c r="AC12" s="264"/>
      <c r="AD12" s="507"/>
      <c r="AE12" s="1226" t="s">
        <v>371</v>
      </c>
      <c r="AF12" s="1226" t="s">
        <v>372</v>
      </c>
      <c r="AG12" s="1226" t="s">
        <v>373</v>
      </c>
      <c r="AH12" s="1226" t="s">
        <v>374</v>
      </c>
      <c r="AI12" s="24"/>
      <c r="AP12" s="79" t="s">
        <v>375</v>
      </c>
      <c r="AQ12" s="79" t="s">
        <v>375</v>
      </c>
    </row>
    <row r="13" spans="1:45" ht="17.25" customHeight="1">
      <c r="A13" s="24"/>
      <c r="C13" s="29"/>
      <c r="D13" s="159"/>
      <c r="E13" s="540" t="str">
        <f>IF(TITLE_DIFFERENTIATION_TYPE="нет","","Добавить систему")</f>
        <v/>
      </c>
      <c r="F13" s="540" t="str">
        <f>IF(TITLE_DIFFERENTIATION_TYPE="нет","Добавить вид деятельности","")</f>
        <v>Добавить вид деятельности</v>
      </c>
      <c r="G13" s="192"/>
      <c r="H13" s="254"/>
      <c r="I13" s="254"/>
      <c r="J13" s="254"/>
      <c r="K13" s="254"/>
      <c r="L13" s="254"/>
      <c r="M13" s="254"/>
      <c r="N13" s="254"/>
      <c r="O13" s="254"/>
      <c r="P13" s="254"/>
      <c r="Q13" s="254"/>
      <c r="R13" s="254"/>
      <c r="S13" s="254"/>
      <c r="T13" s="254"/>
      <c r="U13" s="254"/>
      <c r="V13" s="254"/>
      <c r="W13" s="254"/>
      <c r="X13" s="254"/>
      <c r="Y13" s="254"/>
      <c r="Z13" s="254"/>
      <c r="AA13" s="254"/>
      <c r="AB13" s="254"/>
      <c r="AC13" s="254"/>
      <c r="AD13" s="529"/>
      <c r="AE13" s="1227"/>
      <c r="AF13" s="1227"/>
      <c r="AG13" s="1227"/>
      <c r="AH13" s="1227"/>
      <c r="AI13" s="24"/>
    </row>
    <row r="14" spans="1:45" ht="14.25" customHeight="1">
      <c r="AI14" s="24"/>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xr:uid="{00000000-0002-0000-0700-000000000000}">
      <formula1>kind_of_power_te_unit</formula1>
    </dataValidation>
    <dataValidation type="whole" allowBlank="1" showErrorMessage="1" errorTitle="Ошибка" error="Допускается ввод только неотрицательных целых чисел!" sqref="N12 P12 H12:J12 AB12:AC12 R12:V12 X12:Z12" xr:uid="{00000000-0002-0000-0700-000001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2000000}"/>
    <dataValidation type="textLength" operator="lessThanOrEqual" allowBlank="1" showInputMessage="1" showErrorMessage="1" errorTitle="Ошибка" error="Допускается ввод не более 900 символов!" sqref="E12" xr:uid="{00000000-0002-0000-0700-000003000000}">
      <formula1>900</formula1>
    </dataValidation>
    <dataValidation type="decimal" allowBlank="1" showErrorMessage="1" errorTitle="Ошибка" error="Допускается ввод только неотрицательных чисел!" sqref="H11:AD11 O12 Q12 K12 M12" xr:uid="{00000000-0002-0000-0700-000004000000}">
      <formula1>0</formula1>
      <formula2>9.99999999999999E+23</formula2>
    </dataValidation>
    <dataValidation allowBlank="1" showErrorMessage="1" errorTitle="Ошибка" error="Допускается ввод только неотрицательных чисел!" sqref="E11:G11" xr:uid="{00000000-0002-0000-0700-000005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6D4375-1322-58E3-DD6E-2987B410529A}">
  <sheetPr>
    <tabColor rgb="FFFFCC99"/>
  </sheetPr>
  <dimension ref="A1:G452"/>
  <sheetViews>
    <sheetView showGridLines="0" workbookViewId="0"/>
  </sheetViews>
  <sheetFormatPr defaultRowHeight="11.25" customHeight="1"/>
  <sheetData>
    <row r="1" spans="1:7" ht="11.25" customHeight="1">
      <c r="A1" t="s">
        <v>3771</v>
      </c>
      <c r="B1" t="s">
        <v>3772</v>
      </c>
      <c r="C1" t="s">
        <v>3773</v>
      </c>
      <c r="D1" t="s">
        <v>3774</v>
      </c>
      <c r="E1" t="s">
        <v>3775</v>
      </c>
      <c r="F1" t="s">
        <v>3776</v>
      </c>
      <c r="G1" t="s">
        <v>3777</v>
      </c>
    </row>
    <row r="2" spans="1:7" ht="11.25" customHeight="1">
      <c r="A2" t="s">
        <v>14</v>
      </c>
      <c r="B2" t="s">
        <v>3778</v>
      </c>
      <c r="C2" t="s">
        <v>3779</v>
      </c>
      <c r="D2" t="s">
        <v>3778</v>
      </c>
      <c r="E2" t="s">
        <v>3779</v>
      </c>
      <c r="F2" t="s">
        <v>3780</v>
      </c>
      <c r="G2" t="s">
        <v>109</v>
      </c>
    </row>
    <row r="3" spans="1:7" ht="11.25" customHeight="1">
      <c r="A3" t="s">
        <v>14</v>
      </c>
      <c r="B3" t="s">
        <v>3781</v>
      </c>
      <c r="C3" t="s">
        <v>3782</v>
      </c>
      <c r="D3" t="s">
        <v>3781</v>
      </c>
      <c r="E3" t="s">
        <v>3782</v>
      </c>
      <c r="F3" t="s">
        <v>3783</v>
      </c>
      <c r="G3" t="s">
        <v>110</v>
      </c>
    </row>
    <row r="4" spans="1:7" ht="11.25" customHeight="1">
      <c r="A4" t="s">
        <v>14</v>
      </c>
      <c r="B4" t="s">
        <v>3781</v>
      </c>
      <c r="C4" t="s">
        <v>3782</v>
      </c>
      <c r="D4" t="s">
        <v>3784</v>
      </c>
      <c r="E4" t="s">
        <v>3785</v>
      </c>
      <c r="F4" t="s">
        <v>3786</v>
      </c>
      <c r="G4" t="s">
        <v>90</v>
      </c>
    </row>
    <row r="5" spans="1:7" ht="11.25" customHeight="1">
      <c r="A5" t="s">
        <v>14</v>
      </c>
      <c r="B5" t="s">
        <v>3781</v>
      </c>
      <c r="C5" t="s">
        <v>3782</v>
      </c>
      <c r="D5" t="s">
        <v>3787</v>
      </c>
      <c r="E5" t="s">
        <v>3788</v>
      </c>
      <c r="F5" t="s">
        <v>3786</v>
      </c>
      <c r="G5" t="s">
        <v>91</v>
      </c>
    </row>
    <row r="6" spans="1:7" ht="11.25" customHeight="1">
      <c r="A6" t="s">
        <v>14</v>
      </c>
      <c r="B6" t="s">
        <v>3781</v>
      </c>
      <c r="C6" t="s">
        <v>3782</v>
      </c>
      <c r="D6" t="s">
        <v>3789</v>
      </c>
      <c r="E6" t="s">
        <v>3790</v>
      </c>
      <c r="F6" t="s">
        <v>3786</v>
      </c>
      <c r="G6" t="s">
        <v>111</v>
      </c>
    </row>
    <row r="7" spans="1:7" ht="11.25" customHeight="1">
      <c r="A7" t="s">
        <v>14</v>
      </c>
      <c r="B7" t="s">
        <v>3781</v>
      </c>
      <c r="C7" t="s">
        <v>3782</v>
      </c>
      <c r="D7" t="s">
        <v>3791</v>
      </c>
      <c r="E7" t="s">
        <v>3792</v>
      </c>
      <c r="F7" t="s">
        <v>3793</v>
      </c>
      <c r="G7" t="s">
        <v>92</v>
      </c>
    </row>
    <row r="8" spans="1:7" ht="11.25" customHeight="1">
      <c r="A8" t="s">
        <v>14</v>
      </c>
      <c r="B8" t="s">
        <v>3781</v>
      </c>
      <c r="C8" t="s">
        <v>3782</v>
      </c>
      <c r="D8" t="s">
        <v>3794</v>
      </c>
      <c r="E8" t="s">
        <v>3795</v>
      </c>
      <c r="F8" t="s">
        <v>3793</v>
      </c>
      <c r="G8" t="s">
        <v>93</v>
      </c>
    </row>
    <row r="9" spans="1:7" ht="11.25" customHeight="1">
      <c r="A9" t="s">
        <v>14</v>
      </c>
      <c r="B9" t="s">
        <v>3781</v>
      </c>
      <c r="C9" t="s">
        <v>3782</v>
      </c>
      <c r="D9" t="s">
        <v>3796</v>
      </c>
      <c r="E9" t="s">
        <v>3797</v>
      </c>
      <c r="F9" t="s">
        <v>3786</v>
      </c>
      <c r="G9" t="s">
        <v>112</v>
      </c>
    </row>
    <row r="10" spans="1:7" ht="11.25" customHeight="1">
      <c r="A10" t="s">
        <v>14</v>
      </c>
      <c r="B10" t="s">
        <v>3781</v>
      </c>
      <c r="C10" t="s">
        <v>3782</v>
      </c>
      <c r="D10" t="s">
        <v>3798</v>
      </c>
      <c r="E10" t="s">
        <v>3799</v>
      </c>
      <c r="F10" t="s">
        <v>3786</v>
      </c>
      <c r="G10" t="s">
        <v>149</v>
      </c>
    </row>
    <row r="11" spans="1:7" ht="11.25" customHeight="1">
      <c r="A11" t="s">
        <v>14</v>
      </c>
      <c r="B11" t="s">
        <v>3781</v>
      </c>
      <c r="C11" t="s">
        <v>3782</v>
      </c>
      <c r="D11" t="s">
        <v>3800</v>
      </c>
      <c r="E11" t="s">
        <v>3801</v>
      </c>
      <c r="F11" t="s">
        <v>3786</v>
      </c>
      <c r="G11" t="s">
        <v>150</v>
      </c>
    </row>
    <row r="12" spans="1:7" ht="11.25" customHeight="1">
      <c r="A12" t="s">
        <v>14</v>
      </c>
      <c r="B12" t="s">
        <v>3781</v>
      </c>
      <c r="C12" t="s">
        <v>3782</v>
      </c>
      <c r="D12" t="s">
        <v>3802</v>
      </c>
      <c r="E12" t="s">
        <v>3803</v>
      </c>
      <c r="F12" t="s">
        <v>3786</v>
      </c>
      <c r="G12" t="s">
        <v>151</v>
      </c>
    </row>
    <row r="13" spans="1:7" ht="11.25" customHeight="1">
      <c r="A13" t="s">
        <v>14</v>
      </c>
      <c r="B13" t="s">
        <v>3804</v>
      </c>
      <c r="C13" t="s">
        <v>3805</v>
      </c>
      <c r="D13" t="s">
        <v>3806</v>
      </c>
      <c r="E13" t="s">
        <v>3807</v>
      </c>
      <c r="F13" t="s">
        <v>3786</v>
      </c>
      <c r="G13" t="s">
        <v>152</v>
      </c>
    </row>
    <row r="14" spans="1:7" ht="11.25" customHeight="1">
      <c r="A14" t="s">
        <v>14</v>
      </c>
      <c r="B14" t="s">
        <v>3804</v>
      </c>
      <c r="C14" t="s">
        <v>3805</v>
      </c>
      <c r="D14" t="s">
        <v>3804</v>
      </c>
      <c r="E14" t="s">
        <v>3805</v>
      </c>
      <c r="F14" t="s">
        <v>3783</v>
      </c>
      <c r="G14" t="s">
        <v>153</v>
      </c>
    </row>
    <row r="15" spans="1:7" ht="11.25" customHeight="1">
      <c r="A15" t="s">
        <v>14</v>
      </c>
      <c r="B15" t="s">
        <v>3804</v>
      </c>
      <c r="C15" t="s">
        <v>3805</v>
      </c>
      <c r="D15" t="s">
        <v>3808</v>
      </c>
      <c r="E15" t="s">
        <v>3809</v>
      </c>
      <c r="F15" t="s">
        <v>3786</v>
      </c>
      <c r="G15" t="s">
        <v>154</v>
      </c>
    </row>
    <row r="16" spans="1:7" ht="11.25" customHeight="1">
      <c r="A16" t="s">
        <v>14</v>
      </c>
      <c r="B16" t="s">
        <v>3804</v>
      </c>
      <c r="C16" t="s">
        <v>3805</v>
      </c>
      <c r="D16" t="s">
        <v>3810</v>
      </c>
      <c r="E16" t="s">
        <v>3811</v>
      </c>
      <c r="F16" t="s">
        <v>3786</v>
      </c>
      <c r="G16" t="s">
        <v>696</v>
      </c>
    </row>
    <row r="17" spans="1:7" ht="11.25" customHeight="1">
      <c r="A17" t="s">
        <v>14</v>
      </c>
      <c r="B17" t="s">
        <v>3804</v>
      </c>
      <c r="C17" t="s">
        <v>3805</v>
      </c>
      <c r="D17" t="s">
        <v>3812</v>
      </c>
      <c r="E17" t="s">
        <v>3813</v>
      </c>
      <c r="F17" t="s">
        <v>3786</v>
      </c>
      <c r="G17" t="s">
        <v>398</v>
      </c>
    </row>
    <row r="18" spans="1:7" ht="11.25" customHeight="1">
      <c r="A18" t="s">
        <v>14</v>
      </c>
      <c r="B18" t="s">
        <v>3804</v>
      </c>
      <c r="C18" t="s">
        <v>3805</v>
      </c>
      <c r="D18" t="s">
        <v>3814</v>
      </c>
      <c r="E18" t="s">
        <v>3815</v>
      </c>
      <c r="F18" t="s">
        <v>3786</v>
      </c>
      <c r="G18" t="s">
        <v>705</v>
      </c>
    </row>
    <row r="19" spans="1:7" ht="11.25" customHeight="1">
      <c r="A19" t="s">
        <v>14</v>
      </c>
      <c r="B19" t="s">
        <v>3804</v>
      </c>
      <c r="C19" t="s">
        <v>3805</v>
      </c>
      <c r="D19" t="s">
        <v>3816</v>
      </c>
      <c r="E19" t="s">
        <v>3817</v>
      </c>
      <c r="F19" t="s">
        <v>3786</v>
      </c>
      <c r="G19" t="s">
        <v>709</v>
      </c>
    </row>
    <row r="20" spans="1:7" ht="11.25" customHeight="1">
      <c r="A20" t="s">
        <v>14</v>
      </c>
      <c r="B20" t="s">
        <v>3804</v>
      </c>
      <c r="C20" t="s">
        <v>3805</v>
      </c>
      <c r="D20" t="s">
        <v>3818</v>
      </c>
      <c r="E20" t="s">
        <v>3819</v>
      </c>
      <c r="F20" t="s">
        <v>3786</v>
      </c>
      <c r="G20" t="s">
        <v>460</v>
      </c>
    </row>
    <row r="21" spans="1:7" ht="11.25" customHeight="1">
      <c r="A21" t="s">
        <v>14</v>
      </c>
      <c r="B21" t="s">
        <v>3804</v>
      </c>
      <c r="C21" t="s">
        <v>3805</v>
      </c>
      <c r="D21" t="s">
        <v>3820</v>
      </c>
      <c r="E21" t="s">
        <v>3821</v>
      </c>
      <c r="F21" t="s">
        <v>3786</v>
      </c>
      <c r="G21" t="s">
        <v>1073</v>
      </c>
    </row>
    <row r="22" spans="1:7" ht="11.25" customHeight="1">
      <c r="A22" t="s">
        <v>14</v>
      </c>
      <c r="B22" t="s">
        <v>3804</v>
      </c>
      <c r="C22" t="s">
        <v>3805</v>
      </c>
      <c r="D22" t="s">
        <v>3822</v>
      </c>
      <c r="E22" t="s">
        <v>3823</v>
      </c>
      <c r="F22" t="s">
        <v>3786</v>
      </c>
      <c r="G22" t="s">
        <v>1088</v>
      </c>
    </row>
    <row r="23" spans="1:7" ht="11.25" customHeight="1">
      <c r="A23" t="s">
        <v>14</v>
      </c>
      <c r="B23" t="s">
        <v>3804</v>
      </c>
      <c r="C23" t="s">
        <v>3805</v>
      </c>
      <c r="D23" t="s">
        <v>3824</v>
      </c>
      <c r="E23" t="s">
        <v>3825</v>
      </c>
      <c r="F23" t="s">
        <v>3793</v>
      </c>
      <c r="G23" t="s">
        <v>1094</v>
      </c>
    </row>
    <row r="24" spans="1:7" ht="11.25" customHeight="1">
      <c r="A24" t="s">
        <v>14</v>
      </c>
      <c r="B24" t="s">
        <v>3804</v>
      </c>
      <c r="C24" t="s">
        <v>3805</v>
      </c>
      <c r="D24" t="s">
        <v>3826</v>
      </c>
      <c r="E24" t="s">
        <v>3827</v>
      </c>
      <c r="F24" t="s">
        <v>3786</v>
      </c>
      <c r="G24" t="s">
        <v>1100</v>
      </c>
    </row>
    <row r="25" spans="1:7" ht="11.25" customHeight="1">
      <c r="A25" t="s">
        <v>14</v>
      </c>
      <c r="B25" t="s">
        <v>3804</v>
      </c>
      <c r="C25" t="s">
        <v>3805</v>
      </c>
      <c r="D25" t="s">
        <v>3828</v>
      </c>
      <c r="E25" t="s">
        <v>3829</v>
      </c>
      <c r="F25" t="s">
        <v>3786</v>
      </c>
      <c r="G25" t="s">
        <v>473</v>
      </c>
    </row>
    <row r="26" spans="1:7" ht="11.25" customHeight="1">
      <c r="A26" t="s">
        <v>14</v>
      </c>
      <c r="B26" t="s">
        <v>3804</v>
      </c>
      <c r="C26" t="s">
        <v>3805</v>
      </c>
      <c r="D26" t="s">
        <v>3830</v>
      </c>
      <c r="E26" t="s">
        <v>3831</v>
      </c>
      <c r="F26" t="s">
        <v>3786</v>
      </c>
      <c r="G26" t="s">
        <v>472</v>
      </c>
    </row>
    <row r="27" spans="1:7" ht="11.25" customHeight="1">
      <c r="A27" t="s">
        <v>14</v>
      </c>
      <c r="B27" t="s">
        <v>3832</v>
      </c>
      <c r="C27" t="s">
        <v>3833</v>
      </c>
      <c r="D27" t="s">
        <v>3832</v>
      </c>
      <c r="E27" t="s">
        <v>3833</v>
      </c>
      <c r="F27" t="s">
        <v>3780</v>
      </c>
      <c r="G27" t="s">
        <v>720</v>
      </c>
    </row>
    <row r="28" spans="1:7" ht="11.25" customHeight="1">
      <c r="A28" t="s">
        <v>14</v>
      </c>
      <c r="B28" t="s">
        <v>3834</v>
      </c>
      <c r="C28" t="s">
        <v>3835</v>
      </c>
      <c r="D28" t="s">
        <v>3834</v>
      </c>
      <c r="E28" t="s">
        <v>3835</v>
      </c>
      <c r="F28" t="s">
        <v>3783</v>
      </c>
      <c r="G28" t="s">
        <v>455</v>
      </c>
    </row>
    <row r="29" spans="1:7" ht="11.25" customHeight="1">
      <c r="A29" t="s">
        <v>14</v>
      </c>
      <c r="B29" t="s">
        <v>3834</v>
      </c>
      <c r="C29" t="s">
        <v>3835</v>
      </c>
      <c r="D29" t="s">
        <v>3836</v>
      </c>
      <c r="E29" t="s">
        <v>3837</v>
      </c>
      <c r="F29" t="s">
        <v>3838</v>
      </c>
      <c r="G29" t="s">
        <v>1122</v>
      </c>
    </row>
    <row r="30" spans="1:7" ht="11.25" customHeight="1">
      <c r="A30" t="s">
        <v>14</v>
      </c>
      <c r="B30" t="s">
        <v>3834</v>
      </c>
      <c r="C30" t="s">
        <v>3835</v>
      </c>
      <c r="D30" t="s">
        <v>3839</v>
      </c>
      <c r="E30" t="s">
        <v>3840</v>
      </c>
      <c r="F30" t="s">
        <v>3786</v>
      </c>
      <c r="G30" t="s">
        <v>1125</v>
      </c>
    </row>
    <row r="31" spans="1:7" ht="11.25" customHeight="1">
      <c r="A31" t="s">
        <v>14</v>
      </c>
      <c r="B31" t="s">
        <v>3834</v>
      </c>
      <c r="C31" t="s">
        <v>3835</v>
      </c>
      <c r="D31" t="s">
        <v>3841</v>
      </c>
      <c r="E31" t="s">
        <v>3842</v>
      </c>
      <c r="F31" t="s">
        <v>3786</v>
      </c>
      <c r="G31" t="s">
        <v>1131</v>
      </c>
    </row>
    <row r="32" spans="1:7" ht="11.25" customHeight="1">
      <c r="A32" t="s">
        <v>14</v>
      </c>
      <c r="B32" t="s">
        <v>3834</v>
      </c>
      <c r="C32" t="s">
        <v>3835</v>
      </c>
      <c r="D32" t="s">
        <v>3843</v>
      </c>
      <c r="E32" t="s">
        <v>3844</v>
      </c>
      <c r="F32" t="s">
        <v>3793</v>
      </c>
      <c r="G32" t="s">
        <v>1133</v>
      </c>
    </row>
    <row r="33" spans="1:7" ht="11.25" customHeight="1">
      <c r="A33" t="s">
        <v>14</v>
      </c>
      <c r="B33" t="s">
        <v>3834</v>
      </c>
      <c r="C33" t="s">
        <v>3835</v>
      </c>
      <c r="D33" t="s">
        <v>3845</v>
      </c>
      <c r="E33" t="s">
        <v>3846</v>
      </c>
      <c r="F33" t="s">
        <v>3793</v>
      </c>
      <c r="G33" t="s">
        <v>1135</v>
      </c>
    </row>
    <row r="34" spans="1:7" ht="11.25" customHeight="1">
      <c r="A34" t="s">
        <v>14</v>
      </c>
      <c r="B34" t="s">
        <v>3834</v>
      </c>
      <c r="C34" t="s">
        <v>3835</v>
      </c>
      <c r="D34" t="s">
        <v>3847</v>
      </c>
      <c r="E34" t="s">
        <v>3848</v>
      </c>
      <c r="F34" t="s">
        <v>3793</v>
      </c>
      <c r="G34" t="s">
        <v>1137</v>
      </c>
    </row>
    <row r="35" spans="1:7" ht="11.25" customHeight="1">
      <c r="A35" t="s">
        <v>14</v>
      </c>
      <c r="B35" t="s">
        <v>3834</v>
      </c>
      <c r="C35" t="s">
        <v>3835</v>
      </c>
      <c r="D35" t="s">
        <v>3849</v>
      </c>
      <c r="E35" t="s">
        <v>3850</v>
      </c>
      <c r="F35" t="s">
        <v>3786</v>
      </c>
      <c r="G35" t="s">
        <v>1142</v>
      </c>
    </row>
    <row r="36" spans="1:7" ht="11.25" customHeight="1">
      <c r="A36" t="s">
        <v>14</v>
      </c>
      <c r="B36" t="s">
        <v>3851</v>
      </c>
      <c r="C36" t="s">
        <v>3852</v>
      </c>
      <c r="D36" t="s">
        <v>3851</v>
      </c>
      <c r="E36" t="s">
        <v>3852</v>
      </c>
      <c r="F36" t="s">
        <v>3780</v>
      </c>
      <c r="G36" t="s">
        <v>1147</v>
      </c>
    </row>
    <row r="37" spans="1:7" ht="11.25" customHeight="1">
      <c r="A37" t="s">
        <v>14</v>
      </c>
      <c r="B37" t="s">
        <v>3853</v>
      </c>
      <c r="C37" t="s">
        <v>3854</v>
      </c>
      <c r="D37" t="s">
        <v>3855</v>
      </c>
      <c r="E37" t="s">
        <v>3856</v>
      </c>
      <c r="F37" t="s">
        <v>3786</v>
      </c>
      <c r="G37" t="s">
        <v>1150</v>
      </c>
    </row>
    <row r="38" spans="1:7" ht="11.25" customHeight="1">
      <c r="A38" t="s">
        <v>14</v>
      </c>
      <c r="B38" t="s">
        <v>3853</v>
      </c>
      <c r="C38" t="s">
        <v>3854</v>
      </c>
      <c r="D38" t="s">
        <v>3853</v>
      </c>
      <c r="E38" t="s">
        <v>3854</v>
      </c>
      <c r="F38" t="s">
        <v>3783</v>
      </c>
      <c r="G38" t="s">
        <v>1158</v>
      </c>
    </row>
    <row r="39" spans="1:7" ht="11.25" customHeight="1">
      <c r="A39" t="s">
        <v>14</v>
      </c>
      <c r="B39" t="s">
        <v>3853</v>
      </c>
      <c r="C39" t="s">
        <v>3854</v>
      </c>
      <c r="D39" t="s">
        <v>3857</v>
      </c>
      <c r="E39" t="s">
        <v>3858</v>
      </c>
      <c r="F39" t="s">
        <v>3838</v>
      </c>
      <c r="G39" t="s">
        <v>1164</v>
      </c>
    </row>
    <row r="40" spans="1:7" ht="11.25" customHeight="1">
      <c r="A40" t="s">
        <v>14</v>
      </c>
      <c r="B40" t="s">
        <v>3853</v>
      </c>
      <c r="C40" t="s">
        <v>3854</v>
      </c>
      <c r="D40" t="s">
        <v>3859</v>
      </c>
      <c r="E40" t="s">
        <v>3860</v>
      </c>
      <c r="F40" t="s">
        <v>3786</v>
      </c>
      <c r="G40" t="s">
        <v>1170</v>
      </c>
    </row>
    <row r="41" spans="1:7" ht="11.25" customHeight="1">
      <c r="A41" t="s">
        <v>14</v>
      </c>
      <c r="B41" t="s">
        <v>3853</v>
      </c>
      <c r="C41" t="s">
        <v>3854</v>
      </c>
      <c r="D41" t="s">
        <v>3861</v>
      </c>
      <c r="E41" t="s">
        <v>3862</v>
      </c>
      <c r="F41" t="s">
        <v>3786</v>
      </c>
      <c r="G41" t="s">
        <v>1176</v>
      </c>
    </row>
    <row r="42" spans="1:7" ht="11.25" customHeight="1">
      <c r="A42" t="s">
        <v>14</v>
      </c>
      <c r="B42" t="s">
        <v>3853</v>
      </c>
      <c r="C42" t="s">
        <v>3854</v>
      </c>
      <c r="D42" t="s">
        <v>3863</v>
      </c>
      <c r="E42" t="s">
        <v>3864</v>
      </c>
      <c r="F42" t="s">
        <v>3786</v>
      </c>
      <c r="G42" t="s">
        <v>1181</v>
      </c>
    </row>
    <row r="43" spans="1:7" ht="11.25" customHeight="1">
      <c r="A43" t="s">
        <v>14</v>
      </c>
      <c r="B43" t="s">
        <v>3853</v>
      </c>
      <c r="C43" t="s">
        <v>3854</v>
      </c>
      <c r="D43" t="s">
        <v>3865</v>
      </c>
      <c r="E43" t="s">
        <v>3866</v>
      </c>
      <c r="F43" t="s">
        <v>3786</v>
      </c>
      <c r="G43" t="s">
        <v>1188</v>
      </c>
    </row>
    <row r="44" spans="1:7" ht="11.25" customHeight="1">
      <c r="A44" t="s">
        <v>14</v>
      </c>
      <c r="B44" t="s">
        <v>3853</v>
      </c>
      <c r="C44" t="s">
        <v>3854</v>
      </c>
      <c r="D44" t="s">
        <v>3867</v>
      </c>
      <c r="E44" t="s">
        <v>3868</v>
      </c>
      <c r="F44" t="s">
        <v>3786</v>
      </c>
      <c r="G44" t="s">
        <v>1197</v>
      </c>
    </row>
    <row r="45" spans="1:7" ht="11.25" customHeight="1">
      <c r="A45" t="s">
        <v>14</v>
      </c>
      <c r="B45" t="s">
        <v>3853</v>
      </c>
      <c r="C45" t="s">
        <v>3854</v>
      </c>
      <c r="D45" t="s">
        <v>3869</v>
      </c>
      <c r="E45" t="s">
        <v>3870</v>
      </c>
      <c r="F45" t="s">
        <v>3786</v>
      </c>
      <c r="G45" t="s">
        <v>1203</v>
      </c>
    </row>
    <row r="46" spans="1:7" ht="11.25" customHeight="1">
      <c r="A46" t="s">
        <v>14</v>
      </c>
      <c r="B46" t="s">
        <v>3871</v>
      </c>
      <c r="C46" t="s">
        <v>3872</v>
      </c>
      <c r="D46" t="s">
        <v>3871</v>
      </c>
      <c r="E46" t="s">
        <v>3872</v>
      </c>
      <c r="F46" t="s">
        <v>3780</v>
      </c>
      <c r="G46" t="s">
        <v>474</v>
      </c>
    </row>
    <row r="47" spans="1:7" ht="11.25" customHeight="1">
      <c r="A47" t="s">
        <v>14</v>
      </c>
      <c r="B47" t="s">
        <v>3873</v>
      </c>
      <c r="C47" t="s">
        <v>3874</v>
      </c>
      <c r="D47" t="s">
        <v>3873</v>
      </c>
      <c r="E47" t="s">
        <v>3874</v>
      </c>
      <c r="F47" t="s">
        <v>3783</v>
      </c>
      <c r="G47" t="s">
        <v>1212</v>
      </c>
    </row>
    <row r="48" spans="1:7" ht="11.25" customHeight="1">
      <c r="A48" t="s">
        <v>14</v>
      </c>
      <c r="B48" t="s">
        <v>3873</v>
      </c>
      <c r="C48" t="s">
        <v>3874</v>
      </c>
      <c r="D48" t="s">
        <v>3875</v>
      </c>
      <c r="E48" t="s">
        <v>3876</v>
      </c>
      <c r="F48" t="s">
        <v>3786</v>
      </c>
      <c r="G48" t="s">
        <v>721</v>
      </c>
    </row>
    <row r="49" spans="1:7" ht="11.25" customHeight="1">
      <c r="A49" t="s">
        <v>14</v>
      </c>
      <c r="B49" t="s">
        <v>3873</v>
      </c>
      <c r="C49" t="s">
        <v>3874</v>
      </c>
      <c r="D49" t="s">
        <v>3877</v>
      </c>
      <c r="E49" t="s">
        <v>3878</v>
      </c>
      <c r="F49" t="s">
        <v>3786</v>
      </c>
      <c r="G49" t="s">
        <v>1221</v>
      </c>
    </row>
    <row r="50" spans="1:7" ht="11.25" customHeight="1">
      <c r="A50" t="s">
        <v>14</v>
      </c>
      <c r="B50" t="s">
        <v>3873</v>
      </c>
      <c r="C50" t="s">
        <v>3874</v>
      </c>
      <c r="D50" t="s">
        <v>3879</v>
      </c>
      <c r="E50" t="s">
        <v>3880</v>
      </c>
      <c r="F50" t="s">
        <v>3786</v>
      </c>
      <c r="G50" t="s">
        <v>1225</v>
      </c>
    </row>
    <row r="51" spans="1:7" ht="11.25" customHeight="1">
      <c r="A51" t="s">
        <v>14</v>
      </c>
      <c r="B51" t="s">
        <v>3873</v>
      </c>
      <c r="C51" t="s">
        <v>3874</v>
      </c>
      <c r="D51" t="s">
        <v>3881</v>
      </c>
      <c r="E51" t="s">
        <v>3882</v>
      </c>
      <c r="F51" t="s">
        <v>3786</v>
      </c>
      <c r="G51" t="s">
        <v>1229</v>
      </c>
    </row>
    <row r="52" spans="1:7" ht="11.25" customHeight="1">
      <c r="A52" t="s">
        <v>14</v>
      </c>
      <c r="B52" t="s">
        <v>3873</v>
      </c>
      <c r="C52" t="s">
        <v>3874</v>
      </c>
      <c r="D52" t="s">
        <v>3883</v>
      </c>
      <c r="E52" t="s">
        <v>3884</v>
      </c>
      <c r="F52" t="s">
        <v>3786</v>
      </c>
      <c r="G52" t="s">
        <v>1233</v>
      </c>
    </row>
    <row r="53" spans="1:7" ht="11.25" customHeight="1">
      <c r="A53" t="s">
        <v>14</v>
      </c>
      <c r="B53" t="s">
        <v>3873</v>
      </c>
      <c r="C53" t="s">
        <v>3874</v>
      </c>
      <c r="D53" t="s">
        <v>3885</v>
      </c>
      <c r="E53" t="s">
        <v>3886</v>
      </c>
      <c r="F53" t="s">
        <v>3786</v>
      </c>
      <c r="G53" t="s">
        <v>1235</v>
      </c>
    </row>
    <row r="54" spans="1:7" ht="11.25" customHeight="1">
      <c r="A54" t="s">
        <v>14</v>
      </c>
      <c r="B54" t="s">
        <v>3887</v>
      </c>
      <c r="C54" t="s">
        <v>3888</v>
      </c>
      <c r="D54" t="s">
        <v>3887</v>
      </c>
      <c r="E54" t="s">
        <v>3888</v>
      </c>
      <c r="F54" t="s">
        <v>3780</v>
      </c>
      <c r="G54" t="s">
        <v>1238</v>
      </c>
    </row>
    <row r="55" spans="1:7" ht="11.25" customHeight="1">
      <c r="A55" t="s">
        <v>14</v>
      </c>
      <c r="B55" t="s">
        <v>3889</v>
      </c>
      <c r="C55" t="s">
        <v>3890</v>
      </c>
      <c r="D55" t="s">
        <v>3889</v>
      </c>
      <c r="E55" t="s">
        <v>3890</v>
      </c>
      <c r="F55" t="s">
        <v>3783</v>
      </c>
      <c r="G55" t="s">
        <v>1242</v>
      </c>
    </row>
    <row r="56" spans="1:7" ht="11.25" customHeight="1">
      <c r="A56" t="s">
        <v>14</v>
      </c>
      <c r="B56" t="s">
        <v>3889</v>
      </c>
      <c r="C56" t="s">
        <v>3890</v>
      </c>
      <c r="D56" t="s">
        <v>3891</v>
      </c>
      <c r="E56" t="s">
        <v>3892</v>
      </c>
      <c r="F56" t="s">
        <v>3786</v>
      </c>
      <c r="G56" t="s">
        <v>1245</v>
      </c>
    </row>
    <row r="57" spans="1:7" ht="11.25" customHeight="1">
      <c r="A57" t="s">
        <v>14</v>
      </c>
      <c r="B57" t="s">
        <v>3889</v>
      </c>
      <c r="C57" t="s">
        <v>3890</v>
      </c>
      <c r="D57" t="s">
        <v>3893</v>
      </c>
      <c r="E57" t="s">
        <v>3894</v>
      </c>
      <c r="F57" t="s">
        <v>3793</v>
      </c>
      <c r="G57" t="s">
        <v>1248</v>
      </c>
    </row>
    <row r="58" spans="1:7" ht="11.25" customHeight="1">
      <c r="A58" t="s">
        <v>14</v>
      </c>
      <c r="B58" t="s">
        <v>3889</v>
      </c>
      <c r="C58" t="s">
        <v>3890</v>
      </c>
      <c r="D58" t="s">
        <v>3895</v>
      </c>
      <c r="E58" t="s">
        <v>3896</v>
      </c>
      <c r="F58" t="s">
        <v>3786</v>
      </c>
      <c r="G58" t="s">
        <v>1251</v>
      </c>
    </row>
    <row r="59" spans="1:7" ht="11.25" customHeight="1">
      <c r="A59" t="s">
        <v>14</v>
      </c>
      <c r="B59" t="s">
        <v>3889</v>
      </c>
      <c r="C59" t="s">
        <v>3890</v>
      </c>
      <c r="D59" t="s">
        <v>3897</v>
      </c>
      <c r="E59" t="s">
        <v>3898</v>
      </c>
      <c r="F59" t="s">
        <v>3786</v>
      </c>
      <c r="G59" t="s">
        <v>1255</v>
      </c>
    </row>
    <row r="60" spans="1:7" ht="11.25" customHeight="1">
      <c r="A60" t="s">
        <v>14</v>
      </c>
      <c r="B60" t="s">
        <v>3899</v>
      </c>
      <c r="C60" t="s">
        <v>3900</v>
      </c>
      <c r="D60" t="s">
        <v>3899</v>
      </c>
      <c r="E60" t="s">
        <v>3900</v>
      </c>
      <c r="F60" t="s">
        <v>3780</v>
      </c>
      <c r="G60" t="s">
        <v>1258</v>
      </c>
    </row>
    <row r="61" spans="1:7" ht="11.25" customHeight="1">
      <c r="A61" t="s">
        <v>14</v>
      </c>
      <c r="B61" t="s">
        <v>3901</v>
      </c>
      <c r="C61" t="s">
        <v>3902</v>
      </c>
      <c r="D61" t="s">
        <v>3903</v>
      </c>
      <c r="E61" t="s">
        <v>3904</v>
      </c>
      <c r="F61" t="s">
        <v>3786</v>
      </c>
      <c r="G61" t="s">
        <v>3905</v>
      </c>
    </row>
    <row r="62" spans="1:7" ht="11.25" customHeight="1">
      <c r="A62" t="s">
        <v>14</v>
      </c>
      <c r="B62" t="s">
        <v>3901</v>
      </c>
      <c r="C62" t="s">
        <v>3902</v>
      </c>
      <c r="D62" t="s">
        <v>3901</v>
      </c>
      <c r="E62" t="s">
        <v>3902</v>
      </c>
      <c r="F62" t="s">
        <v>3783</v>
      </c>
      <c r="G62" t="s">
        <v>3906</v>
      </c>
    </row>
    <row r="63" spans="1:7" ht="11.25" customHeight="1">
      <c r="A63" t="s">
        <v>14</v>
      </c>
      <c r="B63" t="s">
        <v>3901</v>
      </c>
      <c r="C63" t="s">
        <v>3902</v>
      </c>
      <c r="D63" t="s">
        <v>3907</v>
      </c>
      <c r="E63" t="s">
        <v>3908</v>
      </c>
      <c r="F63" t="s">
        <v>3786</v>
      </c>
      <c r="G63" t="s">
        <v>3909</v>
      </c>
    </row>
    <row r="64" spans="1:7" ht="11.25" customHeight="1">
      <c r="A64" t="s">
        <v>14</v>
      </c>
      <c r="B64" t="s">
        <v>3901</v>
      </c>
      <c r="C64" t="s">
        <v>3902</v>
      </c>
      <c r="D64" t="s">
        <v>3910</v>
      </c>
      <c r="E64" t="s">
        <v>3911</v>
      </c>
      <c r="F64" t="s">
        <v>3786</v>
      </c>
      <c r="G64" t="s">
        <v>3912</v>
      </c>
    </row>
    <row r="65" spans="1:7" ht="11.25" customHeight="1">
      <c r="A65" t="s">
        <v>14</v>
      </c>
      <c r="B65" t="s">
        <v>3901</v>
      </c>
      <c r="C65" t="s">
        <v>3902</v>
      </c>
      <c r="D65" t="s">
        <v>3913</v>
      </c>
      <c r="E65" t="s">
        <v>3914</v>
      </c>
      <c r="F65" t="s">
        <v>3793</v>
      </c>
      <c r="G65" t="s">
        <v>3915</v>
      </c>
    </row>
    <row r="66" spans="1:7" ht="11.25" customHeight="1">
      <c r="A66" t="s">
        <v>14</v>
      </c>
      <c r="B66" t="s">
        <v>3901</v>
      </c>
      <c r="C66" t="s">
        <v>3902</v>
      </c>
      <c r="D66" t="s">
        <v>3916</v>
      </c>
      <c r="E66" t="s">
        <v>3917</v>
      </c>
      <c r="F66" t="s">
        <v>3786</v>
      </c>
      <c r="G66" t="s">
        <v>3918</v>
      </c>
    </row>
    <row r="67" spans="1:7" ht="11.25" customHeight="1">
      <c r="A67" t="s">
        <v>14</v>
      </c>
      <c r="B67" t="s">
        <v>3901</v>
      </c>
      <c r="C67" t="s">
        <v>3902</v>
      </c>
      <c r="D67" t="s">
        <v>3919</v>
      </c>
      <c r="E67" t="s">
        <v>3920</v>
      </c>
      <c r="F67" t="s">
        <v>3786</v>
      </c>
      <c r="G67" t="s">
        <v>475</v>
      </c>
    </row>
    <row r="68" spans="1:7" ht="11.25" customHeight="1">
      <c r="A68" t="s">
        <v>14</v>
      </c>
      <c r="B68" t="s">
        <v>3921</v>
      </c>
      <c r="C68" t="s">
        <v>3922</v>
      </c>
      <c r="D68" t="s">
        <v>3921</v>
      </c>
      <c r="E68" t="s">
        <v>3922</v>
      </c>
      <c r="F68" t="s">
        <v>3780</v>
      </c>
      <c r="G68" t="s">
        <v>3923</v>
      </c>
    </row>
    <row r="69" spans="1:7" ht="11.25" customHeight="1">
      <c r="A69" t="s">
        <v>14</v>
      </c>
      <c r="B69" t="s">
        <v>3924</v>
      </c>
      <c r="C69" t="s">
        <v>3925</v>
      </c>
      <c r="D69" t="s">
        <v>3924</v>
      </c>
      <c r="E69" t="s">
        <v>3925</v>
      </c>
      <c r="F69" t="s">
        <v>3783</v>
      </c>
      <c r="G69" t="s">
        <v>722</v>
      </c>
    </row>
    <row r="70" spans="1:7" ht="11.25" customHeight="1">
      <c r="A70" t="s">
        <v>14</v>
      </c>
      <c r="B70" t="s">
        <v>3924</v>
      </c>
      <c r="C70" t="s">
        <v>3925</v>
      </c>
      <c r="D70" t="s">
        <v>3926</v>
      </c>
      <c r="E70" t="s">
        <v>3927</v>
      </c>
      <c r="F70" t="s">
        <v>3786</v>
      </c>
      <c r="G70" t="s">
        <v>3928</v>
      </c>
    </row>
    <row r="71" spans="1:7" ht="11.25" customHeight="1">
      <c r="A71" t="s">
        <v>14</v>
      </c>
      <c r="B71" t="s">
        <v>3924</v>
      </c>
      <c r="C71" t="s">
        <v>3925</v>
      </c>
      <c r="D71" t="s">
        <v>3929</v>
      </c>
      <c r="E71" t="s">
        <v>3930</v>
      </c>
      <c r="F71" t="s">
        <v>3786</v>
      </c>
      <c r="G71" t="s">
        <v>3931</v>
      </c>
    </row>
    <row r="72" spans="1:7" ht="11.25" customHeight="1">
      <c r="A72" t="s">
        <v>14</v>
      </c>
      <c r="B72" t="s">
        <v>3924</v>
      </c>
      <c r="C72" t="s">
        <v>3925</v>
      </c>
      <c r="D72" t="s">
        <v>3932</v>
      </c>
      <c r="E72" t="s">
        <v>3933</v>
      </c>
      <c r="F72" t="s">
        <v>3786</v>
      </c>
      <c r="G72" t="s">
        <v>3934</v>
      </c>
    </row>
    <row r="73" spans="1:7" ht="11.25" customHeight="1">
      <c r="A73" t="s">
        <v>14</v>
      </c>
      <c r="B73" t="s">
        <v>3924</v>
      </c>
      <c r="C73" t="s">
        <v>3925</v>
      </c>
      <c r="D73" t="s">
        <v>3935</v>
      </c>
      <c r="E73" t="s">
        <v>3936</v>
      </c>
      <c r="F73" t="s">
        <v>3786</v>
      </c>
      <c r="G73" t="s">
        <v>3937</v>
      </c>
    </row>
    <row r="74" spans="1:7" ht="11.25" customHeight="1">
      <c r="A74" t="s">
        <v>14</v>
      </c>
      <c r="B74" t="s">
        <v>3924</v>
      </c>
      <c r="C74" t="s">
        <v>3925</v>
      </c>
      <c r="D74" t="s">
        <v>3938</v>
      </c>
      <c r="E74" t="s">
        <v>3939</v>
      </c>
      <c r="F74" t="s">
        <v>3786</v>
      </c>
      <c r="G74" t="s">
        <v>3940</v>
      </c>
    </row>
    <row r="75" spans="1:7" ht="11.25" customHeight="1">
      <c r="A75" t="s">
        <v>14</v>
      </c>
      <c r="B75" t="s">
        <v>3924</v>
      </c>
      <c r="C75" t="s">
        <v>3925</v>
      </c>
      <c r="D75" t="s">
        <v>3941</v>
      </c>
      <c r="E75" t="s">
        <v>3942</v>
      </c>
      <c r="F75" t="s">
        <v>3786</v>
      </c>
      <c r="G75" t="s">
        <v>3943</v>
      </c>
    </row>
    <row r="76" spans="1:7" ht="11.25" customHeight="1">
      <c r="A76" t="s">
        <v>14</v>
      </c>
      <c r="B76" t="s">
        <v>3944</v>
      </c>
      <c r="C76" t="s">
        <v>3945</v>
      </c>
      <c r="D76" t="s">
        <v>3944</v>
      </c>
      <c r="E76" t="s">
        <v>3945</v>
      </c>
      <c r="F76" t="s">
        <v>3780</v>
      </c>
      <c r="G76" t="s">
        <v>3946</v>
      </c>
    </row>
    <row r="77" spans="1:7" ht="11.25" customHeight="1">
      <c r="A77" t="s">
        <v>14</v>
      </c>
      <c r="B77" t="s">
        <v>3947</v>
      </c>
      <c r="C77" t="s">
        <v>3948</v>
      </c>
      <c r="D77" t="s">
        <v>3949</v>
      </c>
      <c r="E77" t="s">
        <v>3950</v>
      </c>
      <c r="F77" t="s">
        <v>3786</v>
      </c>
      <c r="G77" t="s">
        <v>3951</v>
      </c>
    </row>
    <row r="78" spans="1:7" ht="11.25" customHeight="1">
      <c r="A78" t="s">
        <v>14</v>
      </c>
      <c r="B78" t="s">
        <v>3947</v>
      </c>
      <c r="C78" t="s">
        <v>3948</v>
      </c>
      <c r="D78" t="s">
        <v>3947</v>
      </c>
      <c r="E78" t="s">
        <v>3948</v>
      </c>
      <c r="F78" t="s">
        <v>3783</v>
      </c>
      <c r="G78" t="s">
        <v>3952</v>
      </c>
    </row>
    <row r="79" spans="1:7" ht="11.25" customHeight="1">
      <c r="A79" t="s">
        <v>14</v>
      </c>
      <c r="B79" t="s">
        <v>3947</v>
      </c>
      <c r="C79" t="s">
        <v>3948</v>
      </c>
      <c r="D79" t="s">
        <v>3953</v>
      </c>
      <c r="E79" t="s">
        <v>3954</v>
      </c>
      <c r="F79" t="s">
        <v>3786</v>
      </c>
      <c r="G79" t="s">
        <v>3955</v>
      </c>
    </row>
    <row r="80" spans="1:7" ht="11.25" customHeight="1">
      <c r="A80" t="s">
        <v>14</v>
      </c>
      <c r="B80" t="s">
        <v>3947</v>
      </c>
      <c r="C80" t="s">
        <v>3948</v>
      </c>
      <c r="D80" t="s">
        <v>3956</v>
      </c>
      <c r="E80" t="s">
        <v>3957</v>
      </c>
      <c r="F80" t="s">
        <v>3786</v>
      </c>
      <c r="G80" t="s">
        <v>3958</v>
      </c>
    </row>
    <row r="81" spans="1:7" ht="11.25" customHeight="1">
      <c r="A81" t="s">
        <v>14</v>
      </c>
      <c r="B81" t="s">
        <v>3947</v>
      </c>
      <c r="C81" t="s">
        <v>3948</v>
      </c>
      <c r="D81" t="s">
        <v>3959</v>
      </c>
      <c r="E81" t="s">
        <v>3960</v>
      </c>
      <c r="F81" t="s">
        <v>3793</v>
      </c>
      <c r="G81" t="s">
        <v>3961</v>
      </c>
    </row>
    <row r="82" spans="1:7" ht="11.25" customHeight="1">
      <c r="A82" t="s">
        <v>14</v>
      </c>
      <c r="B82" t="s">
        <v>3947</v>
      </c>
      <c r="C82" t="s">
        <v>3948</v>
      </c>
      <c r="D82" t="s">
        <v>3962</v>
      </c>
      <c r="E82" t="s">
        <v>3963</v>
      </c>
      <c r="F82" t="s">
        <v>3786</v>
      </c>
      <c r="G82" t="s">
        <v>3964</v>
      </c>
    </row>
    <row r="83" spans="1:7" ht="11.25" customHeight="1">
      <c r="A83" t="s">
        <v>14</v>
      </c>
      <c r="B83" t="s">
        <v>3947</v>
      </c>
      <c r="C83" t="s">
        <v>3948</v>
      </c>
      <c r="D83" t="s">
        <v>3965</v>
      </c>
      <c r="E83" t="s">
        <v>3966</v>
      </c>
      <c r="F83" t="s">
        <v>3786</v>
      </c>
      <c r="G83" t="s">
        <v>3967</v>
      </c>
    </row>
    <row r="84" spans="1:7" ht="11.25" customHeight="1">
      <c r="A84" t="s">
        <v>14</v>
      </c>
      <c r="B84" t="s">
        <v>3968</v>
      </c>
      <c r="C84" t="s">
        <v>3969</v>
      </c>
      <c r="D84" t="s">
        <v>3968</v>
      </c>
      <c r="E84" t="s">
        <v>3969</v>
      </c>
      <c r="F84" t="s">
        <v>3780</v>
      </c>
      <c r="G84" t="s">
        <v>3970</v>
      </c>
    </row>
    <row r="85" spans="1:7" ht="11.25" customHeight="1">
      <c r="A85" t="s">
        <v>14</v>
      </c>
      <c r="B85" t="s">
        <v>3971</v>
      </c>
      <c r="C85" t="s">
        <v>3972</v>
      </c>
      <c r="D85" t="s">
        <v>3973</v>
      </c>
      <c r="E85" t="s">
        <v>3974</v>
      </c>
      <c r="F85" t="s">
        <v>3786</v>
      </c>
      <c r="G85" t="s">
        <v>3975</v>
      </c>
    </row>
    <row r="86" spans="1:7" ht="11.25" customHeight="1">
      <c r="A86" t="s">
        <v>14</v>
      </c>
      <c r="B86" t="s">
        <v>3971</v>
      </c>
      <c r="C86" t="s">
        <v>3972</v>
      </c>
      <c r="D86" t="s">
        <v>3971</v>
      </c>
      <c r="E86" t="s">
        <v>3972</v>
      </c>
      <c r="F86" t="s">
        <v>3783</v>
      </c>
      <c r="G86" t="s">
        <v>3976</v>
      </c>
    </row>
    <row r="87" spans="1:7" ht="11.25" customHeight="1">
      <c r="A87" t="s">
        <v>14</v>
      </c>
      <c r="B87" t="s">
        <v>3971</v>
      </c>
      <c r="C87" t="s">
        <v>3972</v>
      </c>
      <c r="D87" t="s">
        <v>3977</v>
      </c>
      <c r="E87" t="s">
        <v>3978</v>
      </c>
      <c r="F87" t="s">
        <v>3786</v>
      </c>
      <c r="G87" t="s">
        <v>3979</v>
      </c>
    </row>
    <row r="88" spans="1:7" ht="11.25" customHeight="1">
      <c r="A88" t="s">
        <v>14</v>
      </c>
      <c r="B88" t="s">
        <v>3971</v>
      </c>
      <c r="C88" t="s">
        <v>3972</v>
      </c>
      <c r="D88" t="s">
        <v>3980</v>
      </c>
      <c r="E88" t="s">
        <v>3981</v>
      </c>
      <c r="F88" t="s">
        <v>3786</v>
      </c>
      <c r="G88" t="s">
        <v>3982</v>
      </c>
    </row>
    <row r="89" spans="1:7" ht="11.25" customHeight="1">
      <c r="A89" t="s">
        <v>14</v>
      </c>
      <c r="B89" t="s">
        <v>3971</v>
      </c>
      <c r="C89" t="s">
        <v>3972</v>
      </c>
      <c r="D89" t="s">
        <v>3983</v>
      </c>
      <c r="E89" t="s">
        <v>3984</v>
      </c>
      <c r="F89" t="s">
        <v>3793</v>
      </c>
      <c r="G89" t="s">
        <v>3985</v>
      </c>
    </row>
    <row r="90" spans="1:7" ht="11.25" customHeight="1">
      <c r="A90" t="s">
        <v>14</v>
      </c>
      <c r="B90" t="s">
        <v>3971</v>
      </c>
      <c r="C90" t="s">
        <v>3972</v>
      </c>
      <c r="D90" t="s">
        <v>3986</v>
      </c>
      <c r="E90" t="s">
        <v>3987</v>
      </c>
      <c r="F90" t="s">
        <v>3786</v>
      </c>
      <c r="G90" t="s">
        <v>3988</v>
      </c>
    </row>
    <row r="91" spans="1:7" ht="11.25" customHeight="1">
      <c r="A91" t="s">
        <v>14</v>
      </c>
      <c r="B91" t="s">
        <v>3971</v>
      </c>
      <c r="C91" t="s">
        <v>3972</v>
      </c>
      <c r="D91" t="s">
        <v>3989</v>
      </c>
      <c r="E91" t="s">
        <v>3990</v>
      </c>
      <c r="F91" t="s">
        <v>3786</v>
      </c>
      <c r="G91" t="s">
        <v>3991</v>
      </c>
    </row>
    <row r="92" spans="1:7" ht="11.25" customHeight="1">
      <c r="A92" t="s">
        <v>14</v>
      </c>
      <c r="B92" t="s">
        <v>3992</v>
      </c>
      <c r="C92" t="s">
        <v>3993</v>
      </c>
      <c r="D92" t="s">
        <v>3992</v>
      </c>
      <c r="E92" t="s">
        <v>3993</v>
      </c>
      <c r="F92" t="s">
        <v>3780</v>
      </c>
      <c r="G92" t="s">
        <v>3994</v>
      </c>
    </row>
    <row r="93" spans="1:7" ht="11.25" customHeight="1">
      <c r="A93" t="s">
        <v>14</v>
      </c>
      <c r="B93" t="s">
        <v>3995</v>
      </c>
      <c r="C93" t="s">
        <v>3996</v>
      </c>
      <c r="D93" t="s">
        <v>3995</v>
      </c>
      <c r="E93" t="s">
        <v>3996</v>
      </c>
      <c r="F93" t="s">
        <v>3783</v>
      </c>
      <c r="G93" t="s">
        <v>3997</v>
      </c>
    </row>
    <row r="94" spans="1:7" ht="11.25" customHeight="1">
      <c r="A94" t="s">
        <v>14</v>
      </c>
      <c r="B94" t="s">
        <v>3995</v>
      </c>
      <c r="C94" t="s">
        <v>3996</v>
      </c>
      <c r="D94" t="s">
        <v>3998</v>
      </c>
      <c r="E94" t="s">
        <v>3999</v>
      </c>
      <c r="F94" t="s">
        <v>3786</v>
      </c>
      <c r="G94" t="s">
        <v>4000</v>
      </c>
    </row>
    <row r="95" spans="1:7" ht="11.25" customHeight="1">
      <c r="A95" t="s">
        <v>14</v>
      </c>
      <c r="B95" t="s">
        <v>3995</v>
      </c>
      <c r="C95" t="s">
        <v>3996</v>
      </c>
      <c r="D95" t="s">
        <v>4001</v>
      </c>
      <c r="E95" t="s">
        <v>4002</v>
      </c>
      <c r="F95" t="s">
        <v>3838</v>
      </c>
      <c r="G95" t="s">
        <v>4003</v>
      </c>
    </row>
    <row r="96" spans="1:7" ht="11.25" customHeight="1">
      <c r="A96" t="s">
        <v>14</v>
      </c>
      <c r="B96" t="s">
        <v>3995</v>
      </c>
      <c r="C96" t="s">
        <v>3996</v>
      </c>
      <c r="D96" t="s">
        <v>4004</v>
      </c>
      <c r="E96" t="s">
        <v>4005</v>
      </c>
      <c r="F96" t="s">
        <v>3786</v>
      </c>
      <c r="G96" t="s">
        <v>4006</v>
      </c>
    </row>
    <row r="97" spans="1:7" ht="11.25" customHeight="1">
      <c r="A97" t="s">
        <v>14</v>
      </c>
      <c r="B97" t="s">
        <v>3995</v>
      </c>
      <c r="C97" t="s">
        <v>3996</v>
      </c>
      <c r="D97" t="s">
        <v>4007</v>
      </c>
      <c r="E97" t="s">
        <v>4008</v>
      </c>
      <c r="F97" t="s">
        <v>3786</v>
      </c>
      <c r="G97" t="s">
        <v>4009</v>
      </c>
    </row>
    <row r="98" spans="1:7" ht="11.25" customHeight="1">
      <c r="A98" t="s">
        <v>14</v>
      </c>
      <c r="B98" t="s">
        <v>3995</v>
      </c>
      <c r="C98" t="s">
        <v>3996</v>
      </c>
      <c r="D98" t="s">
        <v>4010</v>
      </c>
      <c r="E98" t="s">
        <v>4011</v>
      </c>
      <c r="F98" t="s">
        <v>3786</v>
      </c>
      <c r="G98" t="s">
        <v>4012</v>
      </c>
    </row>
    <row r="99" spans="1:7" ht="11.25" customHeight="1">
      <c r="A99" t="s">
        <v>14</v>
      </c>
      <c r="B99" t="s">
        <v>3995</v>
      </c>
      <c r="C99" t="s">
        <v>3996</v>
      </c>
      <c r="D99" t="s">
        <v>4013</v>
      </c>
      <c r="E99" t="s">
        <v>4014</v>
      </c>
      <c r="F99" t="s">
        <v>3786</v>
      </c>
      <c r="G99" t="s">
        <v>4015</v>
      </c>
    </row>
    <row r="100" spans="1:7" ht="11.25" customHeight="1">
      <c r="A100" t="s">
        <v>14</v>
      </c>
      <c r="B100" t="s">
        <v>3995</v>
      </c>
      <c r="C100" t="s">
        <v>3996</v>
      </c>
      <c r="D100" t="s">
        <v>4016</v>
      </c>
      <c r="E100" t="s">
        <v>4017</v>
      </c>
      <c r="F100" t="s">
        <v>3793</v>
      </c>
      <c r="G100" t="s">
        <v>4018</v>
      </c>
    </row>
    <row r="101" spans="1:7" ht="11.25" customHeight="1">
      <c r="A101" t="s">
        <v>14</v>
      </c>
      <c r="B101" t="s">
        <v>3995</v>
      </c>
      <c r="C101" t="s">
        <v>3996</v>
      </c>
      <c r="D101" t="s">
        <v>4019</v>
      </c>
      <c r="E101" t="s">
        <v>4020</v>
      </c>
      <c r="F101" t="s">
        <v>3786</v>
      </c>
      <c r="G101" t="s">
        <v>4021</v>
      </c>
    </row>
    <row r="102" spans="1:7" ht="11.25" customHeight="1">
      <c r="A102" t="s">
        <v>14</v>
      </c>
      <c r="B102" t="s">
        <v>3995</v>
      </c>
      <c r="C102" t="s">
        <v>3996</v>
      </c>
      <c r="D102" t="s">
        <v>4022</v>
      </c>
      <c r="E102" t="s">
        <v>4023</v>
      </c>
      <c r="F102" t="s">
        <v>3786</v>
      </c>
      <c r="G102" t="s">
        <v>4024</v>
      </c>
    </row>
    <row r="103" spans="1:7" ht="11.25" customHeight="1">
      <c r="A103" t="s">
        <v>14</v>
      </c>
      <c r="B103" t="s">
        <v>4025</v>
      </c>
      <c r="C103" t="s">
        <v>4026</v>
      </c>
      <c r="D103" t="s">
        <v>4025</v>
      </c>
      <c r="E103" t="s">
        <v>4026</v>
      </c>
      <c r="F103" t="s">
        <v>3780</v>
      </c>
      <c r="G103" t="s">
        <v>4027</v>
      </c>
    </row>
    <row r="104" spans="1:7" ht="11.25" customHeight="1">
      <c r="A104" t="s">
        <v>14</v>
      </c>
      <c r="B104" t="s">
        <v>4028</v>
      </c>
      <c r="C104" t="s">
        <v>4029</v>
      </c>
      <c r="D104" t="s">
        <v>4030</v>
      </c>
      <c r="E104" t="s">
        <v>4031</v>
      </c>
      <c r="F104" t="s">
        <v>3786</v>
      </c>
      <c r="G104" t="s">
        <v>4032</v>
      </c>
    </row>
    <row r="105" spans="1:7" ht="11.25" customHeight="1">
      <c r="A105" t="s">
        <v>14</v>
      </c>
      <c r="B105" t="s">
        <v>4028</v>
      </c>
      <c r="C105" t="s">
        <v>4029</v>
      </c>
      <c r="D105" t="s">
        <v>4033</v>
      </c>
      <c r="E105" t="s">
        <v>4034</v>
      </c>
      <c r="F105" t="s">
        <v>3786</v>
      </c>
      <c r="G105" t="s">
        <v>4035</v>
      </c>
    </row>
    <row r="106" spans="1:7" ht="11.25" customHeight="1">
      <c r="A106" t="s">
        <v>14</v>
      </c>
      <c r="B106" t="s">
        <v>4028</v>
      </c>
      <c r="C106" t="s">
        <v>4029</v>
      </c>
      <c r="D106" t="s">
        <v>4036</v>
      </c>
      <c r="E106" t="s">
        <v>4037</v>
      </c>
      <c r="F106" t="s">
        <v>3786</v>
      </c>
      <c r="G106" t="s">
        <v>4038</v>
      </c>
    </row>
    <row r="107" spans="1:7" ht="11.25" customHeight="1">
      <c r="A107" t="s">
        <v>14</v>
      </c>
      <c r="B107" t="s">
        <v>4028</v>
      </c>
      <c r="C107" t="s">
        <v>4029</v>
      </c>
      <c r="D107" t="s">
        <v>4028</v>
      </c>
      <c r="E107" t="s">
        <v>4029</v>
      </c>
      <c r="F107" t="s">
        <v>3783</v>
      </c>
      <c r="G107" t="s">
        <v>4039</v>
      </c>
    </row>
    <row r="108" spans="1:7" ht="11.25" customHeight="1">
      <c r="A108" t="s">
        <v>14</v>
      </c>
      <c r="B108" t="s">
        <v>4028</v>
      </c>
      <c r="C108" t="s">
        <v>4029</v>
      </c>
      <c r="D108" t="s">
        <v>4040</v>
      </c>
      <c r="E108" t="s">
        <v>4041</v>
      </c>
      <c r="F108" t="s">
        <v>3786</v>
      </c>
      <c r="G108" t="s">
        <v>4042</v>
      </c>
    </row>
    <row r="109" spans="1:7" ht="11.25" customHeight="1">
      <c r="A109" t="s">
        <v>14</v>
      </c>
      <c r="B109" t="s">
        <v>4028</v>
      </c>
      <c r="C109" t="s">
        <v>4029</v>
      </c>
      <c r="D109" t="s">
        <v>4043</v>
      </c>
      <c r="E109" t="s">
        <v>4044</v>
      </c>
      <c r="F109" t="s">
        <v>3786</v>
      </c>
      <c r="G109" t="s">
        <v>4045</v>
      </c>
    </row>
    <row r="110" spans="1:7" ht="11.25" customHeight="1">
      <c r="A110" t="s">
        <v>14</v>
      </c>
      <c r="B110" t="s">
        <v>4028</v>
      </c>
      <c r="C110" t="s">
        <v>4029</v>
      </c>
      <c r="D110" t="s">
        <v>4046</v>
      </c>
      <c r="E110" t="s">
        <v>4047</v>
      </c>
      <c r="F110" t="s">
        <v>3786</v>
      </c>
      <c r="G110" t="s">
        <v>4048</v>
      </c>
    </row>
    <row r="111" spans="1:7" ht="11.25" customHeight="1">
      <c r="A111" t="s">
        <v>14</v>
      </c>
      <c r="B111" t="s">
        <v>4028</v>
      </c>
      <c r="C111" t="s">
        <v>4029</v>
      </c>
      <c r="D111" t="s">
        <v>4049</v>
      </c>
      <c r="E111" t="s">
        <v>4050</v>
      </c>
      <c r="F111" t="s">
        <v>3786</v>
      </c>
      <c r="G111" t="s">
        <v>4051</v>
      </c>
    </row>
    <row r="112" spans="1:7" ht="11.25" customHeight="1">
      <c r="A112" t="s">
        <v>14</v>
      </c>
      <c r="B112" t="s">
        <v>4028</v>
      </c>
      <c r="C112" t="s">
        <v>4029</v>
      </c>
      <c r="D112" t="s">
        <v>4052</v>
      </c>
      <c r="E112" t="s">
        <v>4053</v>
      </c>
      <c r="F112" t="s">
        <v>3793</v>
      </c>
      <c r="G112" t="s">
        <v>4054</v>
      </c>
    </row>
    <row r="113" spans="1:7" ht="11.25" customHeight="1">
      <c r="A113" t="s">
        <v>14</v>
      </c>
      <c r="B113" t="s">
        <v>4028</v>
      </c>
      <c r="C113" t="s">
        <v>4029</v>
      </c>
      <c r="D113" t="s">
        <v>4055</v>
      </c>
      <c r="E113" t="s">
        <v>4056</v>
      </c>
      <c r="F113" t="s">
        <v>3786</v>
      </c>
      <c r="G113" t="s">
        <v>4057</v>
      </c>
    </row>
    <row r="114" spans="1:7" ht="11.25" customHeight="1">
      <c r="A114" t="s">
        <v>14</v>
      </c>
      <c r="B114" t="s">
        <v>4058</v>
      </c>
      <c r="C114" t="s">
        <v>4059</v>
      </c>
      <c r="D114" t="s">
        <v>4058</v>
      </c>
      <c r="E114" t="s">
        <v>4059</v>
      </c>
      <c r="F114" t="s">
        <v>3780</v>
      </c>
      <c r="G114" t="s">
        <v>4060</v>
      </c>
    </row>
    <row r="115" spans="1:7" ht="11.25" customHeight="1">
      <c r="A115" t="s">
        <v>14</v>
      </c>
      <c r="B115" t="s">
        <v>4061</v>
      </c>
      <c r="C115" t="s">
        <v>4062</v>
      </c>
      <c r="D115" t="s">
        <v>4061</v>
      </c>
      <c r="E115" t="s">
        <v>4062</v>
      </c>
      <c r="F115" t="s">
        <v>3783</v>
      </c>
      <c r="G115" t="s">
        <v>4063</v>
      </c>
    </row>
    <row r="116" spans="1:7" ht="11.25" customHeight="1">
      <c r="A116" t="s">
        <v>14</v>
      </c>
      <c r="B116" t="s">
        <v>4061</v>
      </c>
      <c r="C116" t="s">
        <v>4062</v>
      </c>
      <c r="D116" t="s">
        <v>4064</v>
      </c>
      <c r="E116" t="s">
        <v>4065</v>
      </c>
      <c r="F116" t="s">
        <v>3838</v>
      </c>
      <c r="G116" t="s">
        <v>4066</v>
      </c>
    </row>
    <row r="117" spans="1:7" ht="11.25" customHeight="1">
      <c r="A117" t="s">
        <v>14</v>
      </c>
      <c r="B117" t="s">
        <v>4061</v>
      </c>
      <c r="C117" t="s">
        <v>4062</v>
      </c>
      <c r="D117" t="s">
        <v>4067</v>
      </c>
      <c r="E117" t="s">
        <v>4068</v>
      </c>
      <c r="F117" t="s">
        <v>3786</v>
      </c>
      <c r="G117" t="s">
        <v>4069</v>
      </c>
    </row>
    <row r="118" spans="1:7" ht="11.25" customHeight="1">
      <c r="A118" t="s">
        <v>14</v>
      </c>
      <c r="B118" t="s">
        <v>4061</v>
      </c>
      <c r="C118" t="s">
        <v>4062</v>
      </c>
      <c r="D118" t="s">
        <v>4070</v>
      </c>
      <c r="E118" t="s">
        <v>4071</v>
      </c>
      <c r="F118" t="s">
        <v>3786</v>
      </c>
      <c r="G118" t="s">
        <v>4072</v>
      </c>
    </row>
    <row r="119" spans="1:7" ht="11.25" customHeight="1">
      <c r="A119" t="s">
        <v>14</v>
      </c>
      <c r="B119" t="s">
        <v>4061</v>
      </c>
      <c r="C119" t="s">
        <v>4062</v>
      </c>
      <c r="D119" t="s">
        <v>4073</v>
      </c>
      <c r="E119" t="s">
        <v>4074</v>
      </c>
      <c r="F119" t="s">
        <v>3786</v>
      </c>
      <c r="G119" t="s">
        <v>4075</v>
      </c>
    </row>
    <row r="120" spans="1:7" ht="11.25" customHeight="1">
      <c r="A120" t="s">
        <v>14</v>
      </c>
      <c r="B120" t="s">
        <v>4061</v>
      </c>
      <c r="C120" t="s">
        <v>4062</v>
      </c>
      <c r="D120" t="s">
        <v>4076</v>
      </c>
      <c r="E120" t="s">
        <v>4077</v>
      </c>
      <c r="F120" t="s">
        <v>3793</v>
      </c>
      <c r="G120" t="s">
        <v>4078</v>
      </c>
    </row>
    <row r="121" spans="1:7" ht="11.25" customHeight="1">
      <c r="A121" t="s">
        <v>14</v>
      </c>
      <c r="B121" t="s">
        <v>4061</v>
      </c>
      <c r="C121" t="s">
        <v>4062</v>
      </c>
      <c r="D121" t="s">
        <v>4079</v>
      </c>
      <c r="E121" t="s">
        <v>4080</v>
      </c>
      <c r="F121" t="s">
        <v>3793</v>
      </c>
      <c r="G121" t="s">
        <v>4081</v>
      </c>
    </row>
    <row r="122" spans="1:7" ht="11.25" customHeight="1">
      <c r="A122" t="s">
        <v>14</v>
      </c>
      <c r="B122" t="s">
        <v>4061</v>
      </c>
      <c r="C122" t="s">
        <v>4062</v>
      </c>
      <c r="D122" t="s">
        <v>4082</v>
      </c>
      <c r="E122" t="s">
        <v>4083</v>
      </c>
      <c r="F122" t="s">
        <v>3793</v>
      </c>
      <c r="G122" t="s">
        <v>4084</v>
      </c>
    </row>
    <row r="123" spans="1:7" ht="11.25" customHeight="1">
      <c r="A123" t="s">
        <v>14</v>
      </c>
      <c r="B123" t="s">
        <v>4061</v>
      </c>
      <c r="C123" t="s">
        <v>4062</v>
      </c>
      <c r="D123" t="s">
        <v>4085</v>
      </c>
      <c r="E123" t="s">
        <v>4086</v>
      </c>
      <c r="F123" t="s">
        <v>3793</v>
      </c>
      <c r="G123" t="s">
        <v>4087</v>
      </c>
    </row>
    <row r="124" spans="1:7" ht="11.25" customHeight="1">
      <c r="A124" t="s">
        <v>14</v>
      </c>
      <c r="B124" t="s">
        <v>4061</v>
      </c>
      <c r="C124" t="s">
        <v>4062</v>
      </c>
      <c r="D124" t="s">
        <v>4088</v>
      </c>
      <c r="E124" t="s">
        <v>4089</v>
      </c>
      <c r="F124" t="s">
        <v>3793</v>
      </c>
      <c r="G124" t="s">
        <v>4090</v>
      </c>
    </row>
    <row r="125" spans="1:7" ht="11.25" customHeight="1">
      <c r="A125" t="s">
        <v>14</v>
      </c>
      <c r="B125" t="s">
        <v>4061</v>
      </c>
      <c r="C125" t="s">
        <v>4062</v>
      </c>
      <c r="D125" t="s">
        <v>4091</v>
      </c>
      <c r="E125" t="s">
        <v>4092</v>
      </c>
      <c r="F125" t="s">
        <v>3793</v>
      </c>
      <c r="G125" t="s">
        <v>4093</v>
      </c>
    </row>
    <row r="126" spans="1:7" ht="11.25" customHeight="1">
      <c r="A126" t="s">
        <v>14</v>
      </c>
      <c r="B126" t="s">
        <v>4061</v>
      </c>
      <c r="C126" t="s">
        <v>4062</v>
      </c>
      <c r="D126" t="s">
        <v>4094</v>
      </c>
      <c r="E126" t="s">
        <v>4095</v>
      </c>
      <c r="F126" t="s">
        <v>3786</v>
      </c>
      <c r="G126" t="s">
        <v>4096</v>
      </c>
    </row>
    <row r="127" spans="1:7" ht="11.25" customHeight="1">
      <c r="A127" t="s">
        <v>14</v>
      </c>
      <c r="B127" t="s">
        <v>4097</v>
      </c>
      <c r="C127" t="s">
        <v>4098</v>
      </c>
      <c r="D127" t="s">
        <v>4097</v>
      </c>
      <c r="E127" t="s">
        <v>4098</v>
      </c>
      <c r="F127" t="s">
        <v>4099</v>
      </c>
      <c r="G127" t="s">
        <v>4100</v>
      </c>
    </row>
    <row r="128" spans="1:7" ht="11.25" customHeight="1">
      <c r="A128" t="s">
        <v>14</v>
      </c>
      <c r="B128" t="s">
        <v>4101</v>
      </c>
      <c r="C128" t="s">
        <v>4102</v>
      </c>
      <c r="D128" t="s">
        <v>4103</v>
      </c>
      <c r="E128" t="s">
        <v>4104</v>
      </c>
      <c r="F128" t="s">
        <v>3786</v>
      </c>
      <c r="G128" t="s">
        <v>4105</v>
      </c>
    </row>
    <row r="129" spans="1:7" ht="11.25" customHeight="1">
      <c r="A129" t="s">
        <v>14</v>
      </c>
      <c r="B129" t="s">
        <v>4101</v>
      </c>
      <c r="C129" t="s">
        <v>4102</v>
      </c>
      <c r="D129" t="s">
        <v>4101</v>
      </c>
      <c r="E129" t="s">
        <v>4102</v>
      </c>
      <c r="F129" t="s">
        <v>3783</v>
      </c>
      <c r="G129" t="s">
        <v>4106</v>
      </c>
    </row>
    <row r="130" spans="1:7" ht="11.25" customHeight="1">
      <c r="A130" t="s">
        <v>14</v>
      </c>
      <c r="B130" t="s">
        <v>4101</v>
      </c>
      <c r="C130" t="s">
        <v>4102</v>
      </c>
      <c r="D130" t="s">
        <v>3863</v>
      </c>
      <c r="E130" t="s">
        <v>4107</v>
      </c>
      <c r="F130" t="s">
        <v>3786</v>
      </c>
      <c r="G130" t="s">
        <v>4108</v>
      </c>
    </row>
    <row r="131" spans="1:7" ht="11.25" customHeight="1">
      <c r="A131" t="s">
        <v>14</v>
      </c>
      <c r="B131" t="s">
        <v>4101</v>
      </c>
      <c r="C131" t="s">
        <v>4102</v>
      </c>
      <c r="D131" t="s">
        <v>4109</v>
      </c>
      <c r="E131" t="s">
        <v>4110</v>
      </c>
      <c r="F131" t="s">
        <v>3786</v>
      </c>
      <c r="G131" t="s">
        <v>4111</v>
      </c>
    </row>
    <row r="132" spans="1:7" ht="11.25" customHeight="1">
      <c r="A132" t="s">
        <v>14</v>
      </c>
      <c r="B132" t="s">
        <v>4101</v>
      </c>
      <c r="C132" t="s">
        <v>4102</v>
      </c>
      <c r="D132" t="s">
        <v>4112</v>
      </c>
      <c r="E132" t="s">
        <v>4113</v>
      </c>
      <c r="F132" t="s">
        <v>3786</v>
      </c>
      <c r="G132" t="s">
        <v>4114</v>
      </c>
    </row>
    <row r="133" spans="1:7" ht="11.25" customHeight="1">
      <c r="A133" t="s">
        <v>14</v>
      </c>
      <c r="B133" t="s">
        <v>4101</v>
      </c>
      <c r="C133" t="s">
        <v>4102</v>
      </c>
      <c r="D133" t="s">
        <v>4115</v>
      </c>
      <c r="E133" t="s">
        <v>4116</v>
      </c>
      <c r="F133" t="s">
        <v>3786</v>
      </c>
      <c r="G133" t="s">
        <v>4117</v>
      </c>
    </row>
    <row r="134" spans="1:7" ht="11.25" customHeight="1">
      <c r="A134" t="s">
        <v>14</v>
      </c>
      <c r="B134" t="s">
        <v>4101</v>
      </c>
      <c r="C134" t="s">
        <v>4102</v>
      </c>
      <c r="D134" t="s">
        <v>4118</v>
      </c>
      <c r="E134" t="s">
        <v>4119</v>
      </c>
      <c r="F134" t="s">
        <v>3786</v>
      </c>
      <c r="G134" t="s">
        <v>4120</v>
      </c>
    </row>
    <row r="135" spans="1:7" ht="11.25" customHeight="1">
      <c r="A135" t="s">
        <v>14</v>
      </c>
      <c r="B135" t="s">
        <v>4101</v>
      </c>
      <c r="C135" t="s">
        <v>4102</v>
      </c>
      <c r="D135" t="s">
        <v>4121</v>
      </c>
      <c r="E135" t="s">
        <v>4122</v>
      </c>
      <c r="F135" t="s">
        <v>3793</v>
      </c>
      <c r="G135" t="s">
        <v>4123</v>
      </c>
    </row>
    <row r="136" spans="1:7" ht="11.25" customHeight="1">
      <c r="A136" t="s">
        <v>14</v>
      </c>
      <c r="B136" t="s">
        <v>4101</v>
      </c>
      <c r="C136" t="s">
        <v>4102</v>
      </c>
      <c r="D136" t="s">
        <v>4124</v>
      </c>
      <c r="E136" t="s">
        <v>4125</v>
      </c>
      <c r="F136" t="s">
        <v>3793</v>
      </c>
      <c r="G136" t="s">
        <v>4126</v>
      </c>
    </row>
    <row r="137" spans="1:7" ht="11.25" customHeight="1">
      <c r="A137" t="s">
        <v>14</v>
      </c>
      <c r="B137" t="s">
        <v>4101</v>
      </c>
      <c r="C137" t="s">
        <v>4102</v>
      </c>
      <c r="D137" t="s">
        <v>4127</v>
      </c>
      <c r="E137" t="s">
        <v>4128</v>
      </c>
      <c r="F137" t="s">
        <v>3786</v>
      </c>
      <c r="G137" t="s">
        <v>4129</v>
      </c>
    </row>
    <row r="138" spans="1:7" ht="11.25" customHeight="1">
      <c r="A138" t="s">
        <v>14</v>
      </c>
      <c r="B138" t="s">
        <v>4101</v>
      </c>
      <c r="C138" t="s">
        <v>4102</v>
      </c>
      <c r="D138" t="s">
        <v>4130</v>
      </c>
      <c r="E138" t="s">
        <v>4131</v>
      </c>
      <c r="F138" t="s">
        <v>3786</v>
      </c>
      <c r="G138" t="s">
        <v>4132</v>
      </c>
    </row>
    <row r="139" spans="1:7" ht="11.25" customHeight="1">
      <c r="A139" t="s">
        <v>14</v>
      </c>
      <c r="B139" t="s">
        <v>4101</v>
      </c>
      <c r="C139" t="s">
        <v>4102</v>
      </c>
      <c r="D139" t="s">
        <v>4133</v>
      </c>
      <c r="E139" t="s">
        <v>4134</v>
      </c>
      <c r="F139" t="s">
        <v>3786</v>
      </c>
      <c r="G139" t="s">
        <v>4135</v>
      </c>
    </row>
    <row r="140" spans="1:7" ht="11.25" customHeight="1">
      <c r="A140" t="s">
        <v>14</v>
      </c>
      <c r="B140" t="s">
        <v>4136</v>
      </c>
      <c r="C140" t="s">
        <v>4137</v>
      </c>
      <c r="D140" t="s">
        <v>4136</v>
      </c>
      <c r="E140" t="s">
        <v>4137</v>
      </c>
      <c r="F140" t="s">
        <v>3780</v>
      </c>
      <c r="G140" t="s">
        <v>4138</v>
      </c>
    </row>
    <row r="141" spans="1:7" ht="11.25" customHeight="1">
      <c r="A141" t="s">
        <v>14</v>
      </c>
      <c r="B141" t="s">
        <v>4139</v>
      </c>
      <c r="C141" t="s">
        <v>4140</v>
      </c>
      <c r="D141" t="s">
        <v>4141</v>
      </c>
      <c r="E141" t="s">
        <v>4142</v>
      </c>
      <c r="F141" t="s">
        <v>3786</v>
      </c>
      <c r="G141" t="s">
        <v>4143</v>
      </c>
    </row>
    <row r="142" spans="1:7" ht="11.25" customHeight="1">
      <c r="A142" t="s">
        <v>14</v>
      </c>
      <c r="B142" t="s">
        <v>4139</v>
      </c>
      <c r="C142" t="s">
        <v>4140</v>
      </c>
      <c r="D142" t="s">
        <v>3949</v>
      </c>
      <c r="E142" t="s">
        <v>4144</v>
      </c>
      <c r="F142" t="s">
        <v>3786</v>
      </c>
      <c r="G142" t="s">
        <v>4145</v>
      </c>
    </row>
    <row r="143" spans="1:7" ht="11.25" customHeight="1">
      <c r="A143" t="s">
        <v>14</v>
      </c>
      <c r="B143" t="s">
        <v>4139</v>
      </c>
      <c r="C143" t="s">
        <v>4140</v>
      </c>
      <c r="D143" t="s">
        <v>4146</v>
      </c>
      <c r="E143" t="s">
        <v>4147</v>
      </c>
      <c r="F143" t="s">
        <v>3786</v>
      </c>
      <c r="G143" t="s">
        <v>4148</v>
      </c>
    </row>
    <row r="144" spans="1:7" ht="11.25" customHeight="1">
      <c r="A144" t="s">
        <v>14</v>
      </c>
      <c r="B144" t="s">
        <v>4139</v>
      </c>
      <c r="C144" t="s">
        <v>4140</v>
      </c>
      <c r="D144" t="s">
        <v>4149</v>
      </c>
      <c r="E144" t="s">
        <v>4150</v>
      </c>
      <c r="F144" t="s">
        <v>3786</v>
      </c>
      <c r="G144" t="s">
        <v>4151</v>
      </c>
    </row>
    <row r="145" spans="1:7" ht="11.25" customHeight="1">
      <c r="A145" t="s">
        <v>14</v>
      </c>
      <c r="B145" t="s">
        <v>4139</v>
      </c>
      <c r="C145" t="s">
        <v>4140</v>
      </c>
      <c r="D145" t="s">
        <v>4139</v>
      </c>
      <c r="E145" t="s">
        <v>4140</v>
      </c>
      <c r="F145" t="s">
        <v>3783</v>
      </c>
      <c r="G145" t="s">
        <v>4152</v>
      </c>
    </row>
    <row r="146" spans="1:7" ht="11.25" customHeight="1">
      <c r="A146" t="s">
        <v>14</v>
      </c>
      <c r="B146" t="s">
        <v>4139</v>
      </c>
      <c r="C146" t="s">
        <v>4140</v>
      </c>
      <c r="D146" t="s">
        <v>4153</v>
      </c>
      <c r="E146" t="s">
        <v>4154</v>
      </c>
      <c r="F146" t="s">
        <v>3786</v>
      </c>
      <c r="G146" t="s">
        <v>4155</v>
      </c>
    </row>
    <row r="147" spans="1:7" ht="11.25" customHeight="1">
      <c r="A147" t="s">
        <v>14</v>
      </c>
      <c r="B147" t="s">
        <v>4139</v>
      </c>
      <c r="C147" t="s">
        <v>4140</v>
      </c>
      <c r="D147" t="s">
        <v>4156</v>
      </c>
      <c r="E147" t="s">
        <v>4157</v>
      </c>
      <c r="F147" t="s">
        <v>3786</v>
      </c>
      <c r="G147" t="s">
        <v>4158</v>
      </c>
    </row>
    <row r="148" spans="1:7" ht="11.25" customHeight="1">
      <c r="A148" t="s">
        <v>14</v>
      </c>
      <c r="B148" t="s">
        <v>4139</v>
      </c>
      <c r="C148" t="s">
        <v>4140</v>
      </c>
      <c r="D148" t="s">
        <v>4159</v>
      </c>
      <c r="E148" t="s">
        <v>4160</v>
      </c>
      <c r="F148" t="s">
        <v>3786</v>
      </c>
      <c r="G148" t="s">
        <v>4161</v>
      </c>
    </row>
    <row r="149" spans="1:7" ht="11.25" customHeight="1">
      <c r="A149" t="s">
        <v>14</v>
      </c>
      <c r="B149" t="s">
        <v>4139</v>
      </c>
      <c r="C149" t="s">
        <v>4140</v>
      </c>
      <c r="D149" t="s">
        <v>4162</v>
      </c>
      <c r="E149" t="s">
        <v>4163</v>
      </c>
      <c r="F149" t="s">
        <v>3786</v>
      </c>
      <c r="G149" t="s">
        <v>4164</v>
      </c>
    </row>
    <row r="150" spans="1:7" ht="11.25" customHeight="1">
      <c r="A150" t="s">
        <v>14</v>
      </c>
      <c r="B150" t="s">
        <v>4139</v>
      </c>
      <c r="C150" t="s">
        <v>4140</v>
      </c>
      <c r="D150" t="s">
        <v>4165</v>
      </c>
      <c r="E150" t="s">
        <v>4166</v>
      </c>
      <c r="F150" t="s">
        <v>3786</v>
      </c>
      <c r="G150" t="s">
        <v>4167</v>
      </c>
    </row>
    <row r="151" spans="1:7" ht="11.25" customHeight="1">
      <c r="A151" t="s">
        <v>14</v>
      </c>
      <c r="B151" t="s">
        <v>4139</v>
      </c>
      <c r="C151" t="s">
        <v>4140</v>
      </c>
      <c r="D151" t="s">
        <v>4168</v>
      </c>
      <c r="E151" t="s">
        <v>4169</v>
      </c>
      <c r="F151" t="s">
        <v>3793</v>
      </c>
      <c r="G151" t="s">
        <v>4170</v>
      </c>
    </row>
    <row r="152" spans="1:7" ht="11.25" customHeight="1">
      <c r="A152" t="s">
        <v>14</v>
      </c>
      <c r="B152" t="s">
        <v>4139</v>
      </c>
      <c r="C152" t="s">
        <v>4140</v>
      </c>
      <c r="D152" t="s">
        <v>4171</v>
      </c>
      <c r="E152" t="s">
        <v>4172</v>
      </c>
      <c r="F152" t="s">
        <v>3786</v>
      </c>
      <c r="G152" t="s">
        <v>4173</v>
      </c>
    </row>
    <row r="153" spans="1:7" ht="11.25" customHeight="1">
      <c r="A153" t="s">
        <v>14</v>
      </c>
      <c r="B153" t="s">
        <v>4174</v>
      </c>
      <c r="C153" t="s">
        <v>4175</v>
      </c>
      <c r="D153" t="s">
        <v>4174</v>
      </c>
      <c r="E153" t="s">
        <v>4175</v>
      </c>
      <c r="F153" t="s">
        <v>3780</v>
      </c>
      <c r="G153" t="s">
        <v>4176</v>
      </c>
    </row>
    <row r="154" spans="1:7" ht="11.25" customHeight="1">
      <c r="A154" t="s">
        <v>14</v>
      </c>
      <c r="B154" t="s">
        <v>4177</v>
      </c>
      <c r="C154" t="s">
        <v>4178</v>
      </c>
      <c r="D154" t="s">
        <v>4179</v>
      </c>
      <c r="E154" t="s">
        <v>4180</v>
      </c>
      <c r="F154" t="s">
        <v>3786</v>
      </c>
      <c r="G154" t="s">
        <v>4181</v>
      </c>
    </row>
    <row r="155" spans="1:7" ht="11.25" customHeight="1">
      <c r="A155" t="s">
        <v>14</v>
      </c>
      <c r="B155" t="s">
        <v>4177</v>
      </c>
      <c r="C155" t="s">
        <v>4178</v>
      </c>
      <c r="D155" t="s">
        <v>4182</v>
      </c>
      <c r="E155" t="s">
        <v>4183</v>
      </c>
      <c r="F155" t="s">
        <v>3786</v>
      </c>
      <c r="G155" t="s">
        <v>4184</v>
      </c>
    </row>
    <row r="156" spans="1:7" ht="11.25" customHeight="1">
      <c r="A156" t="s">
        <v>14</v>
      </c>
      <c r="B156" t="s">
        <v>4177</v>
      </c>
      <c r="C156" t="s">
        <v>4178</v>
      </c>
      <c r="D156" t="s">
        <v>4177</v>
      </c>
      <c r="E156" t="s">
        <v>4178</v>
      </c>
      <c r="F156" t="s">
        <v>3783</v>
      </c>
      <c r="G156" t="s">
        <v>4185</v>
      </c>
    </row>
    <row r="157" spans="1:7" ht="11.25" customHeight="1">
      <c r="A157" t="s">
        <v>14</v>
      </c>
      <c r="B157" t="s">
        <v>4177</v>
      </c>
      <c r="C157" t="s">
        <v>4178</v>
      </c>
      <c r="D157" t="s">
        <v>4186</v>
      </c>
      <c r="E157" t="s">
        <v>4187</v>
      </c>
      <c r="F157" t="s">
        <v>3786</v>
      </c>
      <c r="G157" t="s">
        <v>4188</v>
      </c>
    </row>
    <row r="158" spans="1:7" ht="11.25" customHeight="1">
      <c r="A158" t="s">
        <v>14</v>
      </c>
      <c r="B158" t="s">
        <v>4177</v>
      </c>
      <c r="C158" t="s">
        <v>4178</v>
      </c>
      <c r="D158" t="s">
        <v>4189</v>
      </c>
      <c r="E158" t="s">
        <v>4190</v>
      </c>
      <c r="F158" t="s">
        <v>3786</v>
      </c>
      <c r="G158" t="s">
        <v>4191</v>
      </c>
    </row>
    <row r="159" spans="1:7" ht="11.25" customHeight="1">
      <c r="A159" t="s">
        <v>14</v>
      </c>
      <c r="B159" t="s">
        <v>4177</v>
      </c>
      <c r="C159" t="s">
        <v>4178</v>
      </c>
      <c r="D159" t="s">
        <v>4192</v>
      </c>
      <c r="E159" t="s">
        <v>4193</v>
      </c>
      <c r="F159" t="s">
        <v>3786</v>
      </c>
      <c r="G159" t="s">
        <v>4194</v>
      </c>
    </row>
    <row r="160" spans="1:7" ht="11.25" customHeight="1">
      <c r="A160" t="s">
        <v>14</v>
      </c>
      <c r="B160" t="s">
        <v>4177</v>
      </c>
      <c r="C160" t="s">
        <v>4178</v>
      </c>
      <c r="D160" t="s">
        <v>4195</v>
      </c>
      <c r="E160" t="s">
        <v>4196</v>
      </c>
      <c r="F160" t="s">
        <v>3786</v>
      </c>
      <c r="G160" t="s">
        <v>4197</v>
      </c>
    </row>
    <row r="161" spans="1:7" ht="11.25" customHeight="1">
      <c r="A161" t="s">
        <v>14</v>
      </c>
      <c r="B161" t="s">
        <v>4198</v>
      </c>
      <c r="C161" t="s">
        <v>4199</v>
      </c>
      <c r="D161" t="s">
        <v>4198</v>
      </c>
      <c r="E161" t="s">
        <v>4199</v>
      </c>
      <c r="F161" t="s">
        <v>3780</v>
      </c>
      <c r="G161" t="s">
        <v>4200</v>
      </c>
    </row>
    <row r="162" spans="1:7" ht="11.25" customHeight="1">
      <c r="A162" t="s">
        <v>14</v>
      </c>
      <c r="B162" t="s">
        <v>4201</v>
      </c>
      <c r="C162" t="s">
        <v>4202</v>
      </c>
      <c r="D162" t="s">
        <v>4203</v>
      </c>
      <c r="E162" t="s">
        <v>4204</v>
      </c>
      <c r="F162" t="s">
        <v>3786</v>
      </c>
      <c r="G162" t="s">
        <v>4205</v>
      </c>
    </row>
    <row r="163" spans="1:7" ht="11.25" customHeight="1">
      <c r="A163" t="s">
        <v>14</v>
      </c>
      <c r="B163" t="s">
        <v>4201</v>
      </c>
      <c r="C163" t="s">
        <v>4202</v>
      </c>
      <c r="D163" t="s">
        <v>4206</v>
      </c>
      <c r="E163" t="s">
        <v>4207</v>
      </c>
      <c r="F163" t="s">
        <v>3838</v>
      </c>
      <c r="G163" t="s">
        <v>4208</v>
      </c>
    </row>
    <row r="164" spans="1:7" ht="11.25" customHeight="1">
      <c r="A164" t="s">
        <v>14</v>
      </c>
      <c r="B164" t="s">
        <v>4201</v>
      </c>
      <c r="C164" t="s">
        <v>4202</v>
      </c>
      <c r="D164" t="s">
        <v>4201</v>
      </c>
      <c r="E164" t="s">
        <v>4202</v>
      </c>
      <c r="F164" t="s">
        <v>3783</v>
      </c>
      <c r="G164" t="s">
        <v>4209</v>
      </c>
    </row>
    <row r="165" spans="1:7" ht="11.25" customHeight="1">
      <c r="A165" t="s">
        <v>14</v>
      </c>
      <c r="B165" t="s">
        <v>4201</v>
      </c>
      <c r="C165" t="s">
        <v>4202</v>
      </c>
      <c r="D165" t="s">
        <v>4210</v>
      </c>
      <c r="E165" t="s">
        <v>4211</v>
      </c>
      <c r="F165" t="s">
        <v>3786</v>
      </c>
      <c r="G165" t="s">
        <v>4212</v>
      </c>
    </row>
    <row r="166" spans="1:7" ht="11.25" customHeight="1">
      <c r="A166" t="s">
        <v>14</v>
      </c>
      <c r="B166" t="s">
        <v>4201</v>
      </c>
      <c r="C166" t="s">
        <v>4202</v>
      </c>
      <c r="D166" t="s">
        <v>4213</v>
      </c>
      <c r="E166" t="s">
        <v>4214</v>
      </c>
      <c r="F166" t="s">
        <v>3786</v>
      </c>
      <c r="G166" t="s">
        <v>4215</v>
      </c>
    </row>
    <row r="167" spans="1:7" ht="11.25" customHeight="1">
      <c r="A167" t="s">
        <v>14</v>
      </c>
      <c r="B167" t="s">
        <v>4201</v>
      </c>
      <c r="C167" t="s">
        <v>4202</v>
      </c>
      <c r="D167" t="s">
        <v>4216</v>
      </c>
      <c r="E167" t="s">
        <v>4217</v>
      </c>
      <c r="F167" t="s">
        <v>3786</v>
      </c>
      <c r="G167" t="s">
        <v>4218</v>
      </c>
    </row>
    <row r="168" spans="1:7" ht="11.25" customHeight="1">
      <c r="A168" t="s">
        <v>14</v>
      </c>
      <c r="B168" t="s">
        <v>4201</v>
      </c>
      <c r="C168" t="s">
        <v>4202</v>
      </c>
      <c r="D168" t="s">
        <v>4219</v>
      </c>
      <c r="E168" t="s">
        <v>4220</v>
      </c>
      <c r="F168" t="s">
        <v>3786</v>
      </c>
      <c r="G168" t="s">
        <v>4221</v>
      </c>
    </row>
    <row r="169" spans="1:7" ht="11.25" customHeight="1">
      <c r="A169" t="s">
        <v>14</v>
      </c>
      <c r="B169" t="s">
        <v>4201</v>
      </c>
      <c r="C169" t="s">
        <v>4202</v>
      </c>
      <c r="D169" t="s">
        <v>4222</v>
      </c>
      <c r="E169" t="s">
        <v>4223</v>
      </c>
      <c r="F169" t="s">
        <v>3793</v>
      </c>
      <c r="G169" t="s">
        <v>4224</v>
      </c>
    </row>
    <row r="170" spans="1:7" ht="11.25" customHeight="1">
      <c r="A170" t="s">
        <v>14</v>
      </c>
      <c r="B170" t="s">
        <v>4201</v>
      </c>
      <c r="C170" t="s">
        <v>4202</v>
      </c>
      <c r="D170" t="s">
        <v>4225</v>
      </c>
      <c r="E170" t="s">
        <v>4226</v>
      </c>
      <c r="F170" t="s">
        <v>3786</v>
      </c>
      <c r="G170" t="s">
        <v>4227</v>
      </c>
    </row>
    <row r="171" spans="1:7" ht="11.25" customHeight="1">
      <c r="A171" t="s">
        <v>14</v>
      </c>
      <c r="B171" t="s">
        <v>4201</v>
      </c>
      <c r="C171" t="s">
        <v>4202</v>
      </c>
      <c r="D171" t="s">
        <v>4228</v>
      </c>
      <c r="E171" t="s">
        <v>4229</v>
      </c>
      <c r="F171" t="s">
        <v>3786</v>
      </c>
      <c r="G171" t="s">
        <v>4230</v>
      </c>
    </row>
    <row r="172" spans="1:7" ht="11.25" customHeight="1">
      <c r="A172" t="s">
        <v>14</v>
      </c>
      <c r="B172" t="s">
        <v>4201</v>
      </c>
      <c r="C172" t="s">
        <v>4202</v>
      </c>
      <c r="D172" t="s">
        <v>4231</v>
      </c>
      <c r="E172" t="s">
        <v>4232</v>
      </c>
      <c r="F172" t="s">
        <v>3786</v>
      </c>
      <c r="G172" t="s">
        <v>4233</v>
      </c>
    </row>
    <row r="173" spans="1:7" ht="11.25" customHeight="1">
      <c r="A173" t="s">
        <v>14</v>
      </c>
      <c r="B173" t="s">
        <v>4201</v>
      </c>
      <c r="C173" t="s">
        <v>4202</v>
      </c>
      <c r="D173" t="s">
        <v>4234</v>
      </c>
      <c r="E173" t="s">
        <v>4235</v>
      </c>
      <c r="F173" t="s">
        <v>3786</v>
      </c>
      <c r="G173" t="s">
        <v>4236</v>
      </c>
    </row>
    <row r="174" spans="1:7" ht="11.25" customHeight="1">
      <c r="A174" t="s">
        <v>14</v>
      </c>
      <c r="B174" t="s">
        <v>4201</v>
      </c>
      <c r="C174" t="s">
        <v>4202</v>
      </c>
      <c r="D174" t="s">
        <v>4237</v>
      </c>
      <c r="E174" t="s">
        <v>4238</v>
      </c>
      <c r="F174" t="s">
        <v>3838</v>
      </c>
      <c r="G174" t="s">
        <v>4239</v>
      </c>
    </row>
    <row r="175" spans="1:7" ht="11.25" customHeight="1">
      <c r="A175" t="s">
        <v>14</v>
      </c>
      <c r="B175" t="s">
        <v>4240</v>
      </c>
      <c r="C175" t="s">
        <v>4241</v>
      </c>
      <c r="D175" t="s">
        <v>4240</v>
      </c>
      <c r="E175" t="s">
        <v>4241</v>
      </c>
      <c r="F175" t="s">
        <v>3780</v>
      </c>
      <c r="G175" t="s">
        <v>4242</v>
      </c>
    </row>
    <row r="176" spans="1:7" ht="11.25" customHeight="1">
      <c r="A176" t="s">
        <v>14</v>
      </c>
      <c r="B176" t="s">
        <v>4243</v>
      </c>
      <c r="C176" t="s">
        <v>4244</v>
      </c>
      <c r="D176" t="s">
        <v>4245</v>
      </c>
      <c r="E176" t="s">
        <v>4246</v>
      </c>
      <c r="F176" t="s">
        <v>3786</v>
      </c>
      <c r="G176" t="s">
        <v>4247</v>
      </c>
    </row>
    <row r="177" spans="1:7" ht="11.25" customHeight="1">
      <c r="A177" t="s">
        <v>14</v>
      </c>
      <c r="B177" t="s">
        <v>4243</v>
      </c>
      <c r="C177" t="s">
        <v>4244</v>
      </c>
      <c r="D177" t="s">
        <v>4248</v>
      </c>
      <c r="E177" t="s">
        <v>4249</v>
      </c>
      <c r="F177" t="s">
        <v>3786</v>
      </c>
      <c r="G177" t="s">
        <v>4250</v>
      </c>
    </row>
    <row r="178" spans="1:7" ht="11.25" customHeight="1">
      <c r="A178" t="s">
        <v>14</v>
      </c>
      <c r="B178" t="s">
        <v>4243</v>
      </c>
      <c r="C178" t="s">
        <v>4244</v>
      </c>
      <c r="D178" t="s">
        <v>4243</v>
      </c>
      <c r="E178" t="s">
        <v>4244</v>
      </c>
      <c r="F178" t="s">
        <v>3783</v>
      </c>
      <c r="G178" t="s">
        <v>4251</v>
      </c>
    </row>
    <row r="179" spans="1:7" ht="11.25" customHeight="1">
      <c r="A179" t="s">
        <v>14</v>
      </c>
      <c r="B179" t="s">
        <v>4243</v>
      </c>
      <c r="C179" t="s">
        <v>4244</v>
      </c>
      <c r="D179" t="s">
        <v>4252</v>
      </c>
      <c r="E179" t="s">
        <v>4253</v>
      </c>
      <c r="F179" t="s">
        <v>3786</v>
      </c>
      <c r="G179" t="s">
        <v>4254</v>
      </c>
    </row>
    <row r="180" spans="1:7" ht="11.25" customHeight="1">
      <c r="A180" t="s">
        <v>14</v>
      </c>
      <c r="B180" t="s">
        <v>4243</v>
      </c>
      <c r="C180" t="s">
        <v>4244</v>
      </c>
      <c r="D180" t="s">
        <v>4255</v>
      </c>
      <c r="E180" t="s">
        <v>4256</v>
      </c>
      <c r="F180" t="s">
        <v>3786</v>
      </c>
      <c r="G180" t="s">
        <v>4257</v>
      </c>
    </row>
    <row r="181" spans="1:7" ht="11.25" customHeight="1">
      <c r="A181" t="s">
        <v>14</v>
      </c>
      <c r="B181" t="s">
        <v>4243</v>
      </c>
      <c r="C181" t="s">
        <v>4244</v>
      </c>
      <c r="D181" t="s">
        <v>4258</v>
      </c>
      <c r="E181" t="s">
        <v>4259</v>
      </c>
      <c r="F181" t="s">
        <v>3786</v>
      </c>
      <c r="G181" t="s">
        <v>4260</v>
      </c>
    </row>
    <row r="182" spans="1:7" ht="11.25" customHeight="1">
      <c r="A182" t="s">
        <v>14</v>
      </c>
      <c r="B182" t="s">
        <v>4243</v>
      </c>
      <c r="C182" t="s">
        <v>4244</v>
      </c>
      <c r="D182" t="s">
        <v>4261</v>
      </c>
      <c r="E182" t="s">
        <v>4262</v>
      </c>
      <c r="F182" t="s">
        <v>3786</v>
      </c>
      <c r="G182" t="s">
        <v>4263</v>
      </c>
    </row>
    <row r="183" spans="1:7" ht="11.25" customHeight="1">
      <c r="A183" t="s">
        <v>14</v>
      </c>
      <c r="B183" t="s">
        <v>4243</v>
      </c>
      <c r="C183" t="s">
        <v>4244</v>
      </c>
      <c r="D183" t="s">
        <v>4264</v>
      </c>
      <c r="E183" t="s">
        <v>4265</v>
      </c>
      <c r="F183" t="s">
        <v>3793</v>
      </c>
      <c r="G183" t="s">
        <v>4266</v>
      </c>
    </row>
    <row r="184" spans="1:7" ht="11.25" customHeight="1">
      <c r="A184" t="s">
        <v>14</v>
      </c>
      <c r="B184" t="s">
        <v>4243</v>
      </c>
      <c r="C184" t="s">
        <v>4244</v>
      </c>
      <c r="D184" t="s">
        <v>4267</v>
      </c>
      <c r="E184" t="s">
        <v>4268</v>
      </c>
      <c r="F184" t="s">
        <v>3786</v>
      </c>
      <c r="G184" t="s">
        <v>4269</v>
      </c>
    </row>
    <row r="185" spans="1:7" ht="11.25" customHeight="1">
      <c r="A185" t="s">
        <v>14</v>
      </c>
      <c r="B185" t="s">
        <v>4243</v>
      </c>
      <c r="C185" t="s">
        <v>4244</v>
      </c>
      <c r="D185" t="s">
        <v>4270</v>
      </c>
      <c r="E185" t="s">
        <v>4271</v>
      </c>
      <c r="F185" t="s">
        <v>3786</v>
      </c>
      <c r="G185" t="s">
        <v>4272</v>
      </c>
    </row>
    <row r="186" spans="1:7" ht="11.25" customHeight="1">
      <c r="A186" t="s">
        <v>14</v>
      </c>
      <c r="B186" t="s">
        <v>4243</v>
      </c>
      <c r="C186" t="s">
        <v>4244</v>
      </c>
      <c r="D186" t="s">
        <v>4273</v>
      </c>
      <c r="E186" t="s">
        <v>4274</v>
      </c>
      <c r="F186" t="s">
        <v>3786</v>
      </c>
      <c r="G186" t="s">
        <v>4275</v>
      </c>
    </row>
    <row r="187" spans="1:7" ht="11.25" customHeight="1">
      <c r="A187" t="s">
        <v>14</v>
      </c>
      <c r="B187" t="s">
        <v>4276</v>
      </c>
      <c r="C187" t="s">
        <v>4277</v>
      </c>
      <c r="D187" t="s">
        <v>4276</v>
      </c>
      <c r="E187" t="s">
        <v>4277</v>
      </c>
      <c r="F187" t="s">
        <v>3780</v>
      </c>
      <c r="G187" t="s">
        <v>4278</v>
      </c>
    </row>
    <row r="188" spans="1:7" ht="11.25" customHeight="1">
      <c r="A188" t="s">
        <v>14</v>
      </c>
      <c r="B188" t="s">
        <v>4279</v>
      </c>
      <c r="C188" t="s">
        <v>4280</v>
      </c>
      <c r="D188" t="s">
        <v>4281</v>
      </c>
      <c r="E188" t="s">
        <v>4282</v>
      </c>
      <c r="F188" t="s">
        <v>3786</v>
      </c>
      <c r="G188" t="s">
        <v>4283</v>
      </c>
    </row>
    <row r="189" spans="1:7" ht="11.25" customHeight="1">
      <c r="A189" t="s">
        <v>14</v>
      </c>
      <c r="B189" t="s">
        <v>4279</v>
      </c>
      <c r="C189" t="s">
        <v>4280</v>
      </c>
      <c r="D189" t="s">
        <v>4153</v>
      </c>
      <c r="E189" t="s">
        <v>4284</v>
      </c>
      <c r="F189" t="s">
        <v>3786</v>
      </c>
      <c r="G189" t="s">
        <v>4285</v>
      </c>
    </row>
    <row r="190" spans="1:7" ht="11.25" customHeight="1">
      <c r="A190" t="s">
        <v>14</v>
      </c>
      <c r="B190" t="s">
        <v>4279</v>
      </c>
      <c r="C190" t="s">
        <v>4280</v>
      </c>
      <c r="D190" t="s">
        <v>4279</v>
      </c>
      <c r="E190" t="s">
        <v>4280</v>
      </c>
      <c r="F190" t="s">
        <v>3783</v>
      </c>
      <c r="G190" t="s">
        <v>4286</v>
      </c>
    </row>
    <row r="191" spans="1:7" ht="11.25" customHeight="1">
      <c r="A191" t="s">
        <v>14</v>
      </c>
      <c r="B191" t="s">
        <v>4279</v>
      </c>
      <c r="C191" t="s">
        <v>4280</v>
      </c>
      <c r="D191" t="s">
        <v>4287</v>
      </c>
      <c r="E191" t="s">
        <v>4288</v>
      </c>
      <c r="F191" t="s">
        <v>3786</v>
      </c>
      <c r="G191" t="s">
        <v>4289</v>
      </c>
    </row>
    <row r="192" spans="1:7" ht="11.25" customHeight="1">
      <c r="A192" t="s">
        <v>14</v>
      </c>
      <c r="B192" t="s">
        <v>4279</v>
      </c>
      <c r="C192" t="s">
        <v>4280</v>
      </c>
      <c r="D192" t="s">
        <v>4290</v>
      </c>
      <c r="E192" t="s">
        <v>4291</v>
      </c>
      <c r="F192" t="s">
        <v>3786</v>
      </c>
      <c r="G192" t="s">
        <v>4292</v>
      </c>
    </row>
    <row r="193" spans="1:7" ht="11.25" customHeight="1">
      <c r="A193" t="s">
        <v>14</v>
      </c>
      <c r="B193" t="s">
        <v>4279</v>
      </c>
      <c r="C193" t="s">
        <v>4280</v>
      </c>
      <c r="D193" t="s">
        <v>4293</v>
      </c>
      <c r="E193" t="s">
        <v>4294</v>
      </c>
      <c r="F193" t="s">
        <v>3786</v>
      </c>
      <c r="G193" t="s">
        <v>4295</v>
      </c>
    </row>
    <row r="194" spans="1:7" ht="11.25" customHeight="1">
      <c r="A194" t="s">
        <v>14</v>
      </c>
      <c r="B194" t="s">
        <v>4279</v>
      </c>
      <c r="C194" t="s">
        <v>4280</v>
      </c>
      <c r="D194" t="s">
        <v>4296</v>
      </c>
      <c r="E194" t="s">
        <v>4297</v>
      </c>
      <c r="F194" t="s">
        <v>3786</v>
      </c>
      <c r="G194" t="s">
        <v>4298</v>
      </c>
    </row>
    <row r="195" spans="1:7" ht="11.25" customHeight="1">
      <c r="A195" t="s">
        <v>14</v>
      </c>
      <c r="B195" t="s">
        <v>4299</v>
      </c>
      <c r="C195" t="s">
        <v>4300</v>
      </c>
      <c r="D195" t="s">
        <v>4299</v>
      </c>
      <c r="E195" t="s">
        <v>4300</v>
      </c>
      <c r="F195" t="s">
        <v>4099</v>
      </c>
      <c r="G195" t="s">
        <v>4301</v>
      </c>
    </row>
    <row r="196" spans="1:7" ht="11.25" customHeight="1">
      <c r="A196" t="s">
        <v>14</v>
      </c>
      <c r="B196" t="s">
        <v>4302</v>
      </c>
      <c r="C196" t="s">
        <v>4303</v>
      </c>
      <c r="D196" t="s">
        <v>4302</v>
      </c>
      <c r="E196" t="s">
        <v>4303</v>
      </c>
      <c r="F196" t="s">
        <v>3780</v>
      </c>
      <c r="G196" t="s">
        <v>4304</v>
      </c>
    </row>
    <row r="197" spans="1:7" ht="11.25" customHeight="1">
      <c r="A197" t="s">
        <v>14</v>
      </c>
      <c r="B197" t="s">
        <v>4305</v>
      </c>
      <c r="C197" t="s">
        <v>4306</v>
      </c>
      <c r="D197" t="s">
        <v>4307</v>
      </c>
      <c r="E197" t="s">
        <v>4308</v>
      </c>
      <c r="F197" t="s">
        <v>3786</v>
      </c>
      <c r="G197" t="s">
        <v>4309</v>
      </c>
    </row>
    <row r="198" spans="1:7" ht="11.25" customHeight="1">
      <c r="A198" t="s">
        <v>14</v>
      </c>
      <c r="B198" t="s">
        <v>4305</v>
      </c>
      <c r="C198" t="s">
        <v>4306</v>
      </c>
      <c r="D198" t="s">
        <v>4310</v>
      </c>
      <c r="E198" t="s">
        <v>4311</v>
      </c>
      <c r="F198" t="s">
        <v>3786</v>
      </c>
      <c r="G198" t="s">
        <v>4312</v>
      </c>
    </row>
    <row r="199" spans="1:7" ht="11.25" customHeight="1">
      <c r="A199" t="s">
        <v>14</v>
      </c>
      <c r="B199" t="s">
        <v>4305</v>
      </c>
      <c r="C199" t="s">
        <v>4306</v>
      </c>
      <c r="D199" t="s">
        <v>4313</v>
      </c>
      <c r="E199" t="s">
        <v>4314</v>
      </c>
      <c r="F199" t="s">
        <v>3786</v>
      </c>
      <c r="G199" t="s">
        <v>4315</v>
      </c>
    </row>
    <row r="200" spans="1:7" ht="11.25" customHeight="1">
      <c r="A200" t="s">
        <v>14</v>
      </c>
      <c r="B200" t="s">
        <v>4305</v>
      </c>
      <c r="C200" t="s">
        <v>4306</v>
      </c>
      <c r="D200" t="s">
        <v>4316</v>
      </c>
      <c r="E200" t="s">
        <v>4317</v>
      </c>
      <c r="F200" t="s">
        <v>3838</v>
      </c>
      <c r="G200" t="s">
        <v>4318</v>
      </c>
    </row>
    <row r="201" spans="1:7" ht="11.25" customHeight="1">
      <c r="A201" t="s">
        <v>14</v>
      </c>
      <c r="B201" t="s">
        <v>4305</v>
      </c>
      <c r="C201" t="s">
        <v>4306</v>
      </c>
      <c r="D201" t="s">
        <v>4305</v>
      </c>
      <c r="E201" t="s">
        <v>4306</v>
      </c>
      <c r="F201" t="s">
        <v>3783</v>
      </c>
      <c r="G201" t="s">
        <v>4319</v>
      </c>
    </row>
    <row r="202" spans="1:7" ht="11.25" customHeight="1">
      <c r="A202" t="s">
        <v>14</v>
      </c>
      <c r="B202" t="s">
        <v>4305</v>
      </c>
      <c r="C202" t="s">
        <v>4306</v>
      </c>
      <c r="D202" t="s">
        <v>4320</v>
      </c>
      <c r="E202" t="s">
        <v>4321</v>
      </c>
      <c r="F202" t="s">
        <v>3786</v>
      </c>
      <c r="G202" t="s">
        <v>4322</v>
      </c>
    </row>
    <row r="203" spans="1:7" ht="11.25" customHeight="1">
      <c r="A203" t="s">
        <v>14</v>
      </c>
      <c r="B203" t="s">
        <v>4323</v>
      </c>
      <c r="C203" t="s">
        <v>4324</v>
      </c>
      <c r="D203" t="s">
        <v>4323</v>
      </c>
      <c r="E203" t="s">
        <v>4324</v>
      </c>
      <c r="F203" t="s">
        <v>3780</v>
      </c>
      <c r="G203" t="s">
        <v>4325</v>
      </c>
    </row>
    <row r="204" spans="1:7" ht="11.25" customHeight="1">
      <c r="A204" t="s">
        <v>14</v>
      </c>
      <c r="B204" t="s">
        <v>4326</v>
      </c>
      <c r="C204" t="s">
        <v>4327</v>
      </c>
      <c r="D204" t="s">
        <v>4328</v>
      </c>
      <c r="E204" t="s">
        <v>4329</v>
      </c>
      <c r="F204" t="s">
        <v>3786</v>
      </c>
      <c r="G204" t="s">
        <v>4330</v>
      </c>
    </row>
    <row r="205" spans="1:7" ht="11.25" customHeight="1">
      <c r="A205" t="s">
        <v>14</v>
      </c>
      <c r="B205" t="s">
        <v>4326</v>
      </c>
      <c r="C205" t="s">
        <v>4327</v>
      </c>
      <c r="D205" t="s">
        <v>4331</v>
      </c>
      <c r="E205" t="s">
        <v>4332</v>
      </c>
      <c r="F205" t="s">
        <v>3786</v>
      </c>
      <c r="G205" t="s">
        <v>4333</v>
      </c>
    </row>
    <row r="206" spans="1:7" ht="11.25" customHeight="1">
      <c r="A206" t="s">
        <v>14</v>
      </c>
      <c r="B206" t="s">
        <v>4326</v>
      </c>
      <c r="C206" t="s">
        <v>4327</v>
      </c>
      <c r="D206" t="s">
        <v>4334</v>
      </c>
      <c r="E206" t="s">
        <v>4335</v>
      </c>
      <c r="F206" t="s">
        <v>3786</v>
      </c>
      <c r="G206" t="s">
        <v>4336</v>
      </c>
    </row>
    <row r="207" spans="1:7" ht="11.25" customHeight="1">
      <c r="A207" t="s">
        <v>14</v>
      </c>
      <c r="B207" t="s">
        <v>4326</v>
      </c>
      <c r="C207" t="s">
        <v>4327</v>
      </c>
      <c r="D207" t="s">
        <v>4326</v>
      </c>
      <c r="E207" t="s">
        <v>4327</v>
      </c>
      <c r="F207" t="s">
        <v>3783</v>
      </c>
      <c r="G207" t="s">
        <v>4337</v>
      </c>
    </row>
    <row r="208" spans="1:7" ht="11.25" customHeight="1">
      <c r="A208" t="s">
        <v>14</v>
      </c>
      <c r="B208" t="s">
        <v>4326</v>
      </c>
      <c r="C208" t="s">
        <v>4327</v>
      </c>
      <c r="D208" t="s">
        <v>4338</v>
      </c>
      <c r="E208" t="s">
        <v>4339</v>
      </c>
      <c r="F208" t="s">
        <v>3793</v>
      </c>
      <c r="G208" t="s">
        <v>4340</v>
      </c>
    </row>
    <row r="209" spans="1:7" ht="11.25" customHeight="1">
      <c r="A209" t="s">
        <v>14</v>
      </c>
      <c r="B209" t="s">
        <v>4326</v>
      </c>
      <c r="C209" t="s">
        <v>4327</v>
      </c>
      <c r="D209" t="s">
        <v>4341</v>
      </c>
      <c r="E209" t="s">
        <v>4342</v>
      </c>
      <c r="F209" t="s">
        <v>3786</v>
      </c>
      <c r="G209" t="s">
        <v>4343</v>
      </c>
    </row>
    <row r="210" spans="1:7" ht="11.25" customHeight="1">
      <c r="A210" t="s">
        <v>14</v>
      </c>
      <c r="B210" t="s">
        <v>4326</v>
      </c>
      <c r="C210" t="s">
        <v>4327</v>
      </c>
      <c r="D210" t="s">
        <v>4344</v>
      </c>
      <c r="E210" t="s">
        <v>4345</v>
      </c>
      <c r="F210" t="s">
        <v>3786</v>
      </c>
      <c r="G210" t="s">
        <v>4346</v>
      </c>
    </row>
    <row r="211" spans="1:7" ht="11.25" customHeight="1">
      <c r="A211" t="s">
        <v>14</v>
      </c>
      <c r="B211" t="s">
        <v>4347</v>
      </c>
      <c r="C211" t="s">
        <v>4348</v>
      </c>
      <c r="D211" t="s">
        <v>4347</v>
      </c>
      <c r="E211" t="s">
        <v>4348</v>
      </c>
      <c r="F211" t="s">
        <v>3780</v>
      </c>
      <c r="G211" t="s">
        <v>4349</v>
      </c>
    </row>
    <row r="212" spans="1:7" ht="11.25" customHeight="1">
      <c r="A212" t="s">
        <v>14</v>
      </c>
      <c r="B212" t="s">
        <v>4350</v>
      </c>
      <c r="C212" t="s">
        <v>4351</v>
      </c>
      <c r="D212" t="s">
        <v>4352</v>
      </c>
      <c r="E212" t="s">
        <v>4353</v>
      </c>
      <c r="F212" t="s">
        <v>3786</v>
      </c>
      <c r="G212" t="s">
        <v>4354</v>
      </c>
    </row>
    <row r="213" spans="1:7" ht="11.25" customHeight="1">
      <c r="A213" t="s">
        <v>14</v>
      </c>
      <c r="B213" t="s">
        <v>4350</v>
      </c>
      <c r="C213" t="s">
        <v>4351</v>
      </c>
      <c r="D213" t="s">
        <v>4350</v>
      </c>
      <c r="E213" t="s">
        <v>4351</v>
      </c>
      <c r="F213" t="s">
        <v>3783</v>
      </c>
      <c r="G213" t="s">
        <v>4355</v>
      </c>
    </row>
    <row r="214" spans="1:7" ht="11.25" customHeight="1">
      <c r="A214" t="s">
        <v>14</v>
      </c>
      <c r="B214" t="s">
        <v>4350</v>
      </c>
      <c r="C214" t="s">
        <v>4351</v>
      </c>
      <c r="D214" t="s">
        <v>4356</v>
      </c>
      <c r="E214" t="s">
        <v>4357</v>
      </c>
      <c r="F214" t="s">
        <v>3786</v>
      </c>
      <c r="G214" t="s">
        <v>4358</v>
      </c>
    </row>
    <row r="215" spans="1:7" ht="11.25" customHeight="1">
      <c r="A215" t="s">
        <v>14</v>
      </c>
      <c r="B215" t="s">
        <v>4350</v>
      </c>
      <c r="C215" t="s">
        <v>4351</v>
      </c>
      <c r="D215" t="s">
        <v>4359</v>
      </c>
      <c r="E215" t="s">
        <v>4360</v>
      </c>
      <c r="F215" t="s">
        <v>3793</v>
      </c>
      <c r="G215" t="s">
        <v>4361</v>
      </c>
    </row>
    <row r="216" spans="1:7" ht="11.25" customHeight="1">
      <c r="A216" t="s">
        <v>14</v>
      </c>
      <c r="B216" t="s">
        <v>4350</v>
      </c>
      <c r="C216" t="s">
        <v>4351</v>
      </c>
      <c r="D216" t="s">
        <v>4362</v>
      </c>
      <c r="E216" t="s">
        <v>4363</v>
      </c>
      <c r="F216" t="s">
        <v>3793</v>
      </c>
      <c r="G216" t="s">
        <v>4364</v>
      </c>
    </row>
    <row r="217" spans="1:7" ht="11.25" customHeight="1">
      <c r="A217" t="s">
        <v>14</v>
      </c>
      <c r="B217" t="s">
        <v>4350</v>
      </c>
      <c r="C217" t="s">
        <v>4351</v>
      </c>
      <c r="D217" t="s">
        <v>4365</v>
      </c>
      <c r="E217" t="s">
        <v>4366</v>
      </c>
      <c r="F217" t="s">
        <v>3786</v>
      </c>
      <c r="G217" t="s">
        <v>4367</v>
      </c>
    </row>
    <row r="218" spans="1:7" ht="11.25" customHeight="1">
      <c r="A218" t="s">
        <v>14</v>
      </c>
      <c r="B218" t="s">
        <v>4350</v>
      </c>
      <c r="C218" t="s">
        <v>4351</v>
      </c>
      <c r="D218" t="s">
        <v>4368</v>
      </c>
      <c r="E218" t="s">
        <v>4369</v>
      </c>
      <c r="F218" t="s">
        <v>3786</v>
      </c>
      <c r="G218" t="s">
        <v>4370</v>
      </c>
    </row>
    <row r="219" spans="1:7" ht="11.25" customHeight="1">
      <c r="A219" t="s">
        <v>14</v>
      </c>
      <c r="B219" t="s">
        <v>4371</v>
      </c>
      <c r="C219" t="s">
        <v>4372</v>
      </c>
      <c r="D219" t="s">
        <v>4371</v>
      </c>
      <c r="E219" t="s">
        <v>4372</v>
      </c>
      <c r="F219" t="s">
        <v>3780</v>
      </c>
      <c r="G219" t="s">
        <v>4373</v>
      </c>
    </row>
    <row r="220" spans="1:7" ht="11.25" customHeight="1">
      <c r="A220" t="s">
        <v>14</v>
      </c>
      <c r="B220" t="s">
        <v>4374</v>
      </c>
      <c r="C220" t="s">
        <v>4375</v>
      </c>
      <c r="D220" t="s">
        <v>4376</v>
      </c>
      <c r="E220" t="s">
        <v>4377</v>
      </c>
      <c r="F220" t="s">
        <v>3786</v>
      </c>
      <c r="G220" t="s">
        <v>4378</v>
      </c>
    </row>
    <row r="221" spans="1:7" ht="11.25" customHeight="1">
      <c r="A221" t="s">
        <v>14</v>
      </c>
      <c r="B221" t="s">
        <v>4374</v>
      </c>
      <c r="C221" t="s">
        <v>4375</v>
      </c>
      <c r="D221" t="s">
        <v>4379</v>
      </c>
      <c r="E221" t="s">
        <v>4380</v>
      </c>
      <c r="F221" t="s">
        <v>3786</v>
      </c>
      <c r="G221" t="s">
        <v>4381</v>
      </c>
    </row>
    <row r="222" spans="1:7" ht="11.25" customHeight="1">
      <c r="A222" t="s">
        <v>14</v>
      </c>
      <c r="B222" t="s">
        <v>4374</v>
      </c>
      <c r="C222" t="s">
        <v>4375</v>
      </c>
      <c r="D222" t="s">
        <v>4382</v>
      </c>
      <c r="E222" t="s">
        <v>4383</v>
      </c>
      <c r="F222" t="s">
        <v>3786</v>
      </c>
      <c r="G222" t="s">
        <v>4384</v>
      </c>
    </row>
    <row r="223" spans="1:7" ht="11.25" customHeight="1">
      <c r="A223" t="s">
        <v>14</v>
      </c>
      <c r="B223" t="s">
        <v>4374</v>
      </c>
      <c r="C223" t="s">
        <v>4375</v>
      </c>
      <c r="D223" t="s">
        <v>4385</v>
      </c>
      <c r="E223" t="s">
        <v>4386</v>
      </c>
      <c r="F223" t="s">
        <v>3786</v>
      </c>
      <c r="G223" t="s">
        <v>4387</v>
      </c>
    </row>
    <row r="224" spans="1:7" ht="11.25" customHeight="1">
      <c r="A224" t="s">
        <v>14</v>
      </c>
      <c r="B224" t="s">
        <v>4374</v>
      </c>
      <c r="C224" t="s">
        <v>4375</v>
      </c>
      <c r="D224" t="s">
        <v>4374</v>
      </c>
      <c r="E224" t="s">
        <v>4375</v>
      </c>
      <c r="F224" t="s">
        <v>3783</v>
      </c>
      <c r="G224" t="s">
        <v>4388</v>
      </c>
    </row>
    <row r="225" spans="1:7" ht="11.25" customHeight="1">
      <c r="A225" t="s">
        <v>14</v>
      </c>
      <c r="B225" t="s">
        <v>4374</v>
      </c>
      <c r="C225" t="s">
        <v>4375</v>
      </c>
      <c r="D225" t="s">
        <v>4389</v>
      </c>
      <c r="E225" t="s">
        <v>4390</v>
      </c>
      <c r="F225" t="s">
        <v>3786</v>
      </c>
      <c r="G225" t="s">
        <v>4391</v>
      </c>
    </row>
    <row r="226" spans="1:7" ht="11.25" customHeight="1">
      <c r="A226" t="s">
        <v>14</v>
      </c>
      <c r="B226" t="s">
        <v>4374</v>
      </c>
      <c r="C226" t="s">
        <v>4375</v>
      </c>
      <c r="D226" t="s">
        <v>4392</v>
      </c>
      <c r="E226" t="s">
        <v>4393</v>
      </c>
      <c r="F226" t="s">
        <v>3786</v>
      </c>
      <c r="G226" t="s">
        <v>4394</v>
      </c>
    </row>
    <row r="227" spans="1:7" ht="11.25" customHeight="1">
      <c r="A227" t="s">
        <v>14</v>
      </c>
      <c r="B227" t="s">
        <v>4374</v>
      </c>
      <c r="C227" t="s">
        <v>4375</v>
      </c>
      <c r="D227" t="s">
        <v>4395</v>
      </c>
      <c r="E227" t="s">
        <v>4396</v>
      </c>
      <c r="F227" t="s">
        <v>3786</v>
      </c>
      <c r="G227" t="s">
        <v>4397</v>
      </c>
    </row>
    <row r="228" spans="1:7" ht="11.25" customHeight="1">
      <c r="A228" t="s">
        <v>14</v>
      </c>
      <c r="B228" t="s">
        <v>4374</v>
      </c>
      <c r="C228" t="s">
        <v>4375</v>
      </c>
      <c r="D228" t="s">
        <v>4398</v>
      </c>
      <c r="E228" t="s">
        <v>4399</v>
      </c>
      <c r="F228" t="s">
        <v>3786</v>
      </c>
      <c r="G228" t="s">
        <v>4400</v>
      </c>
    </row>
    <row r="229" spans="1:7" ht="11.25" customHeight="1">
      <c r="A229" t="s">
        <v>14</v>
      </c>
      <c r="B229" t="s">
        <v>4374</v>
      </c>
      <c r="C229" t="s">
        <v>4375</v>
      </c>
      <c r="D229" t="s">
        <v>4401</v>
      </c>
      <c r="E229" t="s">
        <v>4402</v>
      </c>
      <c r="F229" t="s">
        <v>3786</v>
      </c>
      <c r="G229" t="s">
        <v>4403</v>
      </c>
    </row>
    <row r="230" spans="1:7" ht="11.25" customHeight="1">
      <c r="A230" t="s">
        <v>14</v>
      </c>
      <c r="B230" t="s">
        <v>4374</v>
      </c>
      <c r="C230" t="s">
        <v>4375</v>
      </c>
      <c r="D230" t="s">
        <v>4404</v>
      </c>
      <c r="E230" t="s">
        <v>4405</v>
      </c>
      <c r="F230" t="s">
        <v>3786</v>
      </c>
      <c r="G230" t="s">
        <v>4406</v>
      </c>
    </row>
    <row r="231" spans="1:7" ht="11.25" customHeight="1">
      <c r="A231" t="s">
        <v>14</v>
      </c>
      <c r="B231" t="s">
        <v>4374</v>
      </c>
      <c r="C231" t="s">
        <v>4375</v>
      </c>
      <c r="D231" t="s">
        <v>4407</v>
      </c>
      <c r="E231" t="s">
        <v>4408</v>
      </c>
      <c r="F231" t="s">
        <v>3786</v>
      </c>
      <c r="G231" t="s">
        <v>4409</v>
      </c>
    </row>
    <row r="232" spans="1:7" ht="11.25" customHeight="1">
      <c r="A232" t="s">
        <v>14</v>
      </c>
      <c r="B232" t="s">
        <v>4374</v>
      </c>
      <c r="C232" t="s">
        <v>4375</v>
      </c>
      <c r="D232" t="s">
        <v>4410</v>
      </c>
      <c r="E232" t="s">
        <v>4411</v>
      </c>
      <c r="F232" t="s">
        <v>3786</v>
      </c>
      <c r="G232" t="s">
        <v>4412</v>
      </c>
    </row>
    <row r="233" spans="1:7" ht="11.25" customHeight="1">
      <c r="A233" t="s">
        <v>14</v>
      </c>
      <c r="B233" t="s">
        <v>100</v>
      </c>
      <c r="C233" t="s">
        <v>101</v>
      </c>
      <c r="D233" t="s">
        <v>100</v>
      </c>
      <c r="E233" t="s">
        <v>101</v>
      </c>
      <c r="F233" t="s">
        <v>3780</v>
      </c>
      <c r="G233" t="s">
        <v>99</v>
      </c>
    </row>
    <row r="234" spans="1:7" ht="11.25" customHeight="1">
      <c r="A234" t="s">
        <v>14</v>
      </c>
      <c r="B234" t="s">
        <v>4413</v>
      </c>
      <c r="C234" t="s">
        <v>4414</v>
      </c>
      <c r="D234" t="s">
        <v>4415</v>
      </c>
      <c r="E234" t="s">
        <v>4416</v>
      </c>
      <c r="F234" t="s">
        <v>3786</v>
      </c>
      <c r="G234" t="s">
        <v>4417</v>
      </c>
    </row>
    <row r="235" spans="1:7" ht="11.25" customHeight="1">
      <c r="A235" t="s">
        <v>14</v>
      </c>
      <c r="B235" t="s">
        <v>4413</v>
      </c>
      <c r="C235" t="s">
        <v>4414</v>
      </c>
      <c r="D235" t="s">
        <v>4418</v>
      </c>
      <c r="E235" t="s">
        <v>4419</v>
      </c>
      <c r="F235" t="s">
        <v>3786</v>
      </c>
      <c r="G235" t="s">
        <v>4420</v>
      </c>
    </row>
    <row r="236" spans="1:7" ht="11.25" customHeight="1">
      <c r="A236" t="s">
        <v>14</v>
      </c>
      <c r="B236" t="s">
        <v>4413</v>
      </c>
      <c r="C236" t="s">
        <v>4414</v>
      </c>
      <c r="D236" t="s">
        <v>4421</v>
      </c>
      <c r="E236" t="s">
        <v>4422</v>
      </c>
      <c r="F236" t="s">
        <v>3786</v>
      </c>
      <c r="G236" t="s">
        <v>4423</v>
      </c>
    </row>
    <row r="237" spans="1:7" ht="11.25" customHeight="1">
      <c r="A237" t="s">
        <v>14</v>
      </c>
      <c r="B237" t="s">
        <v>4413</v>
      </c>
      <c r="C237" t="s">
        <v>4414</v>
      </c>
      <c r="D237" t="s">
        <v>4424</v>
      </c>
      <c r="E237" t="s">
        <v>4425</v>
      </c>
      <c r="F237" t="s">
        <v>3786</v>
      </c>
      <c r="G237" t="s">
        <v>4426</v>
      </c>
    </row>
    <row r="238" spans="1:7" ht="11.25" customHeight="1">
      <c r="A238" t="s">
        <v>14</v>
      </c>
      <c r="B238" t="s">
        <v>4413</v>
      </c>
      <c r="C238" t="s">
        <v>4414</v>
      </c>
      <c r="D238" t="s">
        <v>4427</v>
      </c>
      <c r="E238" t="s">
        <v>4428</v>
      </c>
      <c r="F238" t="s">
        <v>3786</v>
      </c>
      <c r="G238" t="s">
        <v>4429</v>
      </c>
    </row>
    <row r="239" spans="1:7" ht="11.25" customHeight="1">
      <c r="A239" t="s">
        <v>14</v>
      </c>
      <c r="B239" t="s">
        <v>4413</v>
      </c>
      <c r="C239" t="s">
        <v>4414</v>
      </c>
      <c r="D239" t="s">
        <v>4430</v>
      </c>
      <c r="E239" t="s">
        <v>4431</v>
      </c>
      <c r="F239" t="s">
        <v>3838</v>
      </c>
      <c r="G239" t="s">
        <v>4432</v>
      </c>
    </row>
    <row r="240" spans="1:7" ht="11.25" customHeight="1">
      <c r="A240" t="s">
        <v>14</v>
      </c>
      <c r="B240" t="s">
        <v>4413</v>
      </c>
      <c r="C240" t="s">
        <v>4414</v>
      </c>
      <c r="D240" t="s">
        <v>4433</v>
      </c>
      <c r="E240" t="s">
        <v>4434</v>
      </c>
      <c r="F240" t="s">
        <v>3786</v>
      </c>
      <c r="G240" t="s">
        <v>4435</v>
      </c>
    </row>
    <row r="241" spans="1:7" ht="11.25" customHeight="1">
      <c r="A241" t="s">
        <v>14</v>
      </c>
      <c r="B241" t="s">
        <v>4413</v>
      </c>
      <c r="C241" t="s">
        <v>4414</v>
      </c>
      <c r="D241" t="s">
        <v>4413</v>
      </c>
      <c r="E241" t="s">
        <v>4414</v>
      </c>
      <c r="F241" t="s">
        <v>3783</v>
      </c>
      <c r="G241" t="s">
        <v>4436</v>
      </c>
    </row>
    <row r="242" spans="1:7" ht="11.25" customHeight="1">
      <c r="A242" t="s">
        <v>14</v>
      </c>
      <c r="B242" t="s">
        <v>4413</v>
      </c>
      <c r="C242" t="s">
        <v>4414</v>
      </c>
      <c r="D242" t="s">
        <v>4437</v>
      </c>
      <c r="E242" t="s">
        <v>4438</v>
      </c>
      <c r="F242" t="s">
        <v>3786</v>
      </c>
      <c r="G242" t="s">
        <v>4439</v>
      </c>
    </row>
    <row r="243" spans="1:7" ht="11.25" customHeight="1">
      <c r="A243" t="s">
        <v>14</v>
      </c>
      <c r="B243" t="s">
        <v>4413</v>
      </c>
      <c r="C243" t="s">
        <v>4414</v>
      </c>
      <c r="D243" t="s">
        <v>4440</v>
      </c>
      <c r="E243" t="s">
        <v>4441</v>
      </c>
      <c r="F243" t="s">
        <v>3786</v>
      </c>
      <c r="G243" t="s">
        <v>4442</v>
      </c>
    </row>
    <row r="244" spans="1:7" ht="11.25" customHeight="1">
      <c r="A244" t="s">
        <v>14</v>
      </c>
      <c r="B244" t="s">
        <v>4413</v>
      </c>
      <c r="C244" t="s">
        <v>4414</v>
      </c>
      <c r="D244" t="s">
        <v>4443</v>
      </c>
      <c r="E244" t="s">
        <v>4444</v>
      </c>
      <c r="F244" t="s">
        <v>3786</v>
      </c>
      <c r="G244" t="s">
        <v>4445</v>
      </c>
    </row>
    <row r="245" spans="1:7" ht="11.25" customHeight="1">
      <c r="A245" t="s">
        <v>14</v>
      </c>
      <c r="B245" t="s">
        <v>4413</v>
      </c>
      <c r="C245" t="s">
        <v>4414</v>
      </c>
      <c r="D245" t="s">
        <v>4446</v>
      </c>
      <c r="E245" t="s">
        <v>4447</v>
      </c>
      <c r="F245" t="s">
        <v>3786</v>
      </c>
      <c r="G245" t="s">
        <v>4448</v>
      </c>
    </row>
    <row r="246" spans="1:7" ht="11.25" customHeight="1">
      <c r="A246" t="s">
        <v>14</v>
      </c>
      <c r="B246" t="s">
        <v>4413</v>
      </c>
      <c r="C246" t="s">
        <v>4414</v>
      </c>
      <c r="D246" t="s">
        <v>4449</v>
      </c>
      <c r="E246" t="s">
        <v>4450</v>
      </c>
      <c r="F246" t="s">
        <v>3786</v>
      </c>
      <c r="G246" t="s">
        <v>4451</v>
      </c>
    </row>
    <row r="247" spans="1:7" ht="11.25" customHeight="1">
      <c r="A247" t="s">
        <v>14</v>
      </c>
      <c r="B247" t="s">
        <v>4413</v>
      </c>
      <c r="C247" t="s">
        <v>4414</v>
      </c>
      <c r="D247" t="s">
        <v>3828</v>
      </c>
      <c r="E247" t="s">
        <v>4452</v>
      </c>
      <c r="F247" t="s">
        <v>3786</v>
      </c>
      <c r="G247" t="s">
        <v>4453</v>
      </c>
    </row>
    <row r="248" spans="1:7" ht="11.25" customHeight="1">
      <c r="A248" t="s">
        <v>14</v>
      </c>
      <c r="B248" t="s">
        <v>4413</v>
      </c>
      <c r="C248" t="s">
        <v>4414</v>
      </c>
      <c r="D248" t="s">
        <v>4454</v>
      </c>
      <c r="E248" t="s">
        <v>4455</v>
      </c>
      <c r="F248" t="s">
        <v>3786</v>
      </c>
      <c r="G248" t="s">
        <v>4456</v>
      </c>
    </row>
    <row r="249" spans="1:7" ht="11.25" customHeight="1">
      <c r="A249" t="s">
        <v>14</v>
      </c>
      <c r="B249" t="s">
        <v>4457</v>
      </c>
      <c r="C249" t="s">
        <v>4458</v>
      </c>
      <c r="D249" t="s">
        <v>4459</v>
      </c>
      <c r="E249" t="s">
        <v>4460</v>
      </c>
      <c r="F249" t="s">
        <v>3838</v>
      </c>
      <c r="G249" t="s">
        <v>4461</v>
      </c>
    </row>
    <row r="250" spans="1:7" ht="11.25" customHeight="1">
      <c r="A250" t="s">
        <v>14</v>
      </c>
      <c r="B250" t="s">
        <v>4457</v>
      </c>
      <c r="C250" t="s">
        <v>4458</v>
      </c>
      <c r="D250" t="s">
        <v>4457</v>
      </c>
      <c r="E250" t="s">
        <v>4458</v>
      </c>
      <c r="F250" t="s">
        <v>3783</v>
      </c>
      <c r="G250" t="s">
        <v>4462</v>
      </c>
    </row>
    <row r="251" spans="1:7" ht="11.25" customHeight="1">
      <c r="A251" t="s">
        <v>14</v>
      </c>
      <c r="B251" t="s">
        <v>4457</v>
      </c>
      <c r="C251" t="s">
        <v>4458</v>
      </c>
      <c r="D251" t="s">
        <v>4463</v>
      </c>
      <c r="E251" t="s">
        <v>4464</v>
      </c>
      <c r="F251" t="s">
        <v>3786</v>
      </c>
      <c r="G251" t="s">
        <v>4465</v>
      </c>
    </row>
    <row r="252" spans="1:7" ht="11.25" customHeight="1">
      <c r="A252" t="s">
        <v>14</v>
      </c>
      <c r="B252" t="s">
        <v>4457</v>
      </c>
      <c r="C252" t="s">
        <v>4458</v>
      </c>
      <c r="D252" t="s">
        <v>4466</v>
      </c>
      <c r="E252" t="s">
        <v>4467</v>
      </c>
      <c r="F252" t="s">
        <v>3793</v>
      </c>
      <c r="G252" t="s">
        <v>4468</v>
      </c>
    </row>
    <row r="253" spans="1:7" ht="11.25" customHeight="1">
      <c r="A253" t="s">
        <v>14</v>
      </c>
      <c r="B253" t="s">
        <v>4457</v>
      </c>
      <c r="C253" t="s">
        <v>4458</v>
      </c>
      <c r="D253" t="s">
        <v>4469</v>
      </c>
      <c r="E253" t="s">
        <v>4470</v>
      </c>
      <c r="F253" t="s">
        <v>3793</v>
      </c>
      <c r="G253" t="s">
        <v>4471</v>
      </c>
    </row>
    <row r="254" spans="1:7" ht="11.25" customHeight="1">
      <c r="A254" t="s">
        <v>14</v>
      </c>
      <c r="B254" t="s">
        <v>4457</v>
      </c>
      <c r="C254" t="s">
        <v>4458</v>
      </c>
      <c r="D254" t="s">
        <v>4472</v>
      </c>
      <c r="E254" t="s">
        <v>4473</v>
      </c>
      <c r="F254" t="s">
        <v>3786</v>
      </c>
      <c r="G254" t="s">
        <v>4474</v>
      </c>
    </row>
    <row r="255" spans="1:7" ht="11.25" customHeight="1">
      <c r="A255" t="s">
        <v>14</v>
      </c>
      <c r="B255" t="s">
        <v>4457</v>
      </c>
      <c r="C255" t="s">
        <v>4458</v>
      </c>
      <c r="D255" t="s">
        <v>4475</v>
      </c>
      <c r="E255" t="s">
        <v>4476</v>
      </c>
      <c r="F255" t="s">
        <v>3786</v>
      </c>
      <c r="G255" t="s">
        <v>4477</v>
      </c>
    </row>
    <row r="256" spans="1:7" ht="11.25" customHeight="1">
      <c r="A256" t="s">
        <v>14</v>
      </c>
      <c r="B256" t="s">
        <v>4457</v>
      </c>
      <c r="C256" t="s">
        <v>4458</v>
      </c>
      <c r="D256" t="s">
        <v>4478</v>
      </c>
      <c r="E256" t="s">
        <v>4479</v>
      </c>
      <c r="F256" t="s">
        <v>3786</v>
      </c>
      <c r="G256" t="s">
        <v>4480</v>
      </c>
    </row>
    <row r="257" spans="1:7" ht="11.25" customHeight="1">
      <c r="A257" t="s">
        <v>14</v>
      </c>
      <c r="B257" t="s">
        <v>4481</v>
      </c>
      <c r="C257" t="s">
        <v>4482</v>
      </c>
      <c r="D257" t="s">
        <v>4481</v>
      </c>
      <c r="E257" t="s">
        <v>4482</v>
      </c>
      <c r="F257" t="s">
        <v>3780</v>
      </c>
      <c r="G257" t="s">
        <v>4483</v>
      </c>
    </row>
    <row r="258" spans="1:7" ht="11.25" customHeight="1">
      <c r="A258" t="s">
        <v>14</v>
      </c>
      <c r="B258" t="s">
        <v>4484</v>
      </c>
      <c r="C258" t="s">
        <v>4485</v>
      </c>
      <c r="D258" t="s">
        <v>4486</v>
      </c>
      <c r="E258" t="s">
        <v>4487</v>
      </c>
      <c r="F258" t="s">
        <v>3786</v>
      </c>
      <c r="G258" t="s">
        <v>4488</v>
      </c>
    </row>
    <row r="259" spans="1:7" ht="11.25" customHeight="1">
      <c r="A259" t="s">
        <v>14</v>
      </c>
      <c r="B259" t="s">
        <v>4484</v>
      </c>
      <c r="C259" t="s">
        <v>4485</v>
      </c>
      <c r="D259" t="s">
        <v>4489</v>
      </c>
      <c r="E259" t="s">
        <v>4490</v>
      </c>
      <c r="F259" t="s">
        <v>3786</v>
      </c>
      <c r="G259" t="s">
        <v>4491</v>
      </c>
    </row>
    <row r="260" spans="1:7" ht="11.25" customHeight="1">
      <c r="A260" t="s">
        <v>14</v>
      </c>
      <c r="B260" t="s">
        <v>4484</v>
      </c>
      <c r="C260" t="s">
        <v>4485</v>
      </c>
      <c r="D260" t="s">
        <v>4492</v>
      </c>
      <c r="E260" t="s">
        <v>4493</v>
      </c>
      <c r="F260" t="s">
        <v>3838</v>
      </c>
      <c r="G260" t="s">
        <v>4494</v>
      </c>
    </row>
    <row r="261" spans="1:7" ht="11.25" customHeight="1">
      <c r="A261" t="s">
        <v>14</v>
      </c>
      <c r="B261" t="s">
        <v>4484</v>
      </c>
      <c r="C261" t="s">
        <v>4485</v>
      </c>
      <c r="D261" t="s">
        <v>4495</v>
      </c>
      <c r="E261" t="s">
        <v>4496</v>
      </c>
      <c r="F261" t="s">
        <v>3786</v>
      </c>
      <c r="G261" t="s">
        <v>4497</v>
      </c>
    </row>
    <row r="262" spans="1:7" ht="11.25" customHeight="1">
      <c r="A262" t="s">
        <v>14</v>
      </c>
      <c r="B262" t="s">
        <v>4484</v>
      </c>
      <c r="C262" t="s">
        <v>4485</v>
      </c>
      <c r="D262" t="s">
        <v>3935</v>
      </c>
      <c r="E262" t="s">
        <v>4498</v>
      </c>
      <c r="F262" t="s">
        <v>3786</v>
      </c>
      <c r="G262" t="s">
        <v>4499</v>
      </c>
    </row>
    <row r="263" spans="1:7" ht="11.25" customHeight="1">
      <c r="A263" t="s">
        <v>14</v>
      </c>
      <c r="B263" t="s">
        <v>4484</v>
      </c>
      <c r="C263" t="s">
        <v>4485</v>
      </c>
      <c r="D263" t="s">
        <v>4484</v>
      </c>
      <c r="E263" t="s">
        <v>4485</v>
      </c>
      <c r="F263" t="s">
        <v>3783</v>
      </c>
      <c r="G263" t="s">
        <v>4500</v>
      </c>
    </row>
    <row r="264" spans="1:7" ht="11.25" customHeight="1">
      <c r="A264" t="s">
        <v>14</v>
      </c>
      <c r="B264" t="s">
        <v>4484</v>
      </c>
      <c r="C264" t="s">
        <v>4485</v>
      </c>
      <c r="D264" t="s">
        <v>4501</v>
      </c>
      <c r="E264" t="s">
        <v>4502</v>
      </c>
      <c r="F264" t="s">
        <v>3793</v>
      </c>
      <c r="G264" t="s">
        <v>4503</v>
      </c>
    </row>
    <row r="265" spans="1:7" ht="11.25" customHeight="1">
      <c r="A265" t="s">
        <v>14</v>
      </c>
      <c r="B265" t="s">
        <v>4484</v>
      </c>
      <c r="C265" t="s">
        <v>4485</v>
      </c>
      <c r="D265" t="s">
        <v>4504</v>
      </c>
      <c r="E265" t="s">
        <v>4505</v>
      </c>
      <c r="F265" t="s">
        <v>3786</v>
      </c>
      <c r="G265" t="s">
        <v>4506</v>
      </c>
    </row>
    <row r="266" spans="1:7" ht="11.25" customHeight="1">
      <c r="A266" t="s">
        <v>14</v>
      </c>
      <c r="B266" t="s">
        <v>4484</v>
      </c>
      <c r="C266" t="s">
        <v>4485</v>
      </c>
      <c r="D266" t="s">
        <v>4507</v>
      </c>
      <c r="E266" t="s">
        <v>4508</v>
      </c>
      <c r="F266" t="s">
        <v>3786</v>
      </c>
      <c r="G266" t="s">
        <v>4509</v>
      </c>
    </row>
    <row r="267" spans="1:7" ht="11.25" customHeight="1">
      <c r="A267" t="s">
        <v>14</v>
      </c>
      <c r="B267" t="s">
        <v>4510</v>
      </c>
      <c r="C267" t="s">
        <v>4511</v>
      </c>
      <c r="D267" t="s">
        <v>4510</v>
      </c>
      <c r="E267" t="s">
        <v>4511</v>
      </c>
      <c r="F267" t="s">
        <v>3780</v>
      </c>
      <c r="G267" t="s">
        <v>4512</v>
      </c>
    </row>
    <row r="268" spans="1:7" ht="11.25" customHeight="1">
      <c r="A268" t="s">
        <v>14</v>
      </c>
      <c r="B268" t="s">
        <v>4513</v>
      </c>
      <c r="C268" t="s">
        <v>4514</v>
      </c>
      <c r="D268" t="s">
        <v>4515</v>
      </c>
      <c r="E268" t="s">
        <v>4516</v>
      </c>
      <c r="F268" t="s">
        <v>3786</v>
      </c>
      <c r="G268" t="s">
        <v>4517</v>
      </c>
    </row>
    <row r="269" spans="1:7" ht="11.25" customHeight="1">
      <c r="A269" t="s">
        <v>14</v>
      </c>
      <c r="B269" t="s">
        <v>4513</v>
      </c>
      <c r="C269" t="s">
        <v>4514</v>
      </c>
      <c r="D269" t="s">
        <v>4518</v>
      </c>
      <c r="E269" t="s">
        <v>4519</v>
      </c>
      <c r="F269" t="s">
        <v>3786</v>
      </c>
      <c r="G269" t="s">
        <v>4520</v>
      </c>
    </row>
    <row r="270" spans="1:7" ht="11.25" customHeight="1">
      <c r="A270" t="s">
        <v>14</v>
      </c>
      <c r="B270" t="s">
        <v>4513</v>
      </c>
      <c r="C270" t="s">
        <v>4514</v>
      </c>
      <c r="D270" t="s">
        <v>4521</v>
      </c>
      <c r="E270" t="s">
        <v>4522</v>
      </c>
      <c r="F270" t="s">
        <v>3786</v>
      </c>
      <c r="G270" t="s">
        <v>4523</v>
      </c>
    </row>
    <row r="271" spans="1:7" ht="11.25" customHeight="1">
      <c r="A271" t="s">
        <v>14</v>
      </c>
      <c r="B271" t="s">
        <v>4513</v>
      </c>
      <c r="C271" t="s">
        <v>4514</v>
      </c>
      <c r="D271" t="s">
        <v>4524</v>
      </c>
      <c r="E271" t="s">
        <v>4525</v>
      </c>
      <c r="F271" t="s">
        <v>3838</v>
      </c>
      <c r="G271" t="s">
        <v>4526</v>
      </c>
    </row>
    <row r="272" spans="1:7" ht="11.25" customHeight="1">
      <c r="A272" t="s">
        <v>14</v>
      </c>
      <c r="B272" t="s">
        <v>4513</v>
      </c>
      <c r="C272" t="s">
        <v>4514</v>
      </c>
      <c r="D272" t="s">
        <v>4527</v>
      </c>
      <c r="E272" t="s">
        <v>4528</v>
      </c>
      <c r="F272" t="s">
        <v>3786</v>
      </c>
      <c r="G272" t="s">
        <v>4529</v>
      </c>
    </row>
    <row r="273" spans="1:7" ht="11.25" customHeight="1">
      <c r="A273" t="s">
        <v>14</v>
      </c>
      <c r="B273" t="s">
        <v>4513</v>
      </c>
      <c r="C273" t="s">
        <v>4514</v>
      </c>
      <c r="D273" t="s">
        <v>4530</v>
      </c>
      <c r="E273" t="s">
        <v>4531</v>
      </c>
      <c r="F273" t="s">
        <v>3786</v>
      </c>
      <c r="G273" t="s">
        <v>4532</v>
      </c>
    </row>
    <row r="274" spans="1:7" ht="11.25" customHeight="1">
      <c r="A274" t="s">
        <v>14</v>
      </c>
      <c r="B274" t="s">
        <v>4513</v>
      </c>
      <c r="C274" t="s">
        <v>4514</v>
      </c>
      <c r="D274" t="s">
        <v>4533</v>
      </c>
      <c r="E274" t="s">
        <v>4534</v>
      </c>
      <c r="F274" t="s">
        <v>3786</v>
      </c>
      <c r="G274" t="s">
        <v>4535</v>
      </c>
    </row>
    <row r="275" spans="1:7" ht="11.25" customHeight="1">
      <c r="A275" t="s">
        <v>14</v>
      </c>
      <c r="B275" t="s">
        <v>4513</v>
      </c>
      <c r="C275" t="s">
        <v>4514</v>
      </c>
      <c r="D275" t="s">
        <v>4536</v>
      </c>
      <c r="E275" t="s">
        <v>4537</v>
      </c>
      <c r="F275" t="s">
        <v>3786</v>
      </c>
      <c r="G275" t="s">
        <v>4538</v>
      </c>
    </row>
    <row r="276" spans="1:7" ht="11.25" customHeight="1">
      <c r="A276" t="s">
        <v>14</v>
      </c>
      <c r="B276" t="s">
        <v>4513</v>
      </c>
      <c r="C276" t="s">
        <v>4514</v>
      </c>
      <c r="D276" t="s">
        <v>4513</v>
      </c>
      <c r="E276" t="s">
        <v>4514</v>
      </c>
      <c r="F276" t="s">
        <v>3783</v>
      </c>
      <c r="G276" t="s">
        <v>4539</v>
      </c>
    </row>
    <row r="277" spans="1:7" ht="11.25" customHeight="1">
      <c r="A277" t="s">
        <v>14</v>
      </c>
      <c r="B277" t="s">
        <v>4513</v>
      </c>
      <c r="C277" t="s">
        <v>4514</v>
      </c>
      <c r="D277" t="s">
        <v>4540</v>
      </c>
      <c r="E277" t="s">
        <v>4541</v>
      </c>
      <c r="F277" t="s">
        <v>3786</v>
      </c>
      <c r="G277" t="s">
        <v>4542</v>
      </c>
    </row>
    <row r="278" spans="1:7" ht="11.25" customHeight="1">
      <c r="A278" t="s">
        <v>14</v>
      </c>
      <c r="B278" t="s">
        <v>4543</v>
      </c>
      <c r="C278" t="s">
        <v>4544</v>
      </c>
      <c r="D278" t="s">
        <v>4543</v>
      </c>
      <c r="E278" t="s">
        <v>4544</v>
      </c>
      <c r="F278" t="s">
        <v>4099</v>
      </c>
      <c r="G278" t="s">
        <v>4545</v>
      </c>
    </row>
    <row r="279" spans="1:7" ht="11.25" customHeight="1">
      <c r="A279" t="s">
        <v>14</v>
      </c>
      <c r="B279" t="s">
        <v>4546</v>
      </c>
      <c r="C279" t="s">
        <v>4547</v>
      </c>
      <c r="D279" t="s">
        <v>4548</v>
      </c>
      <c r="E279" t="s">
        <v>4549</v>
      </c>
      <c r="F279" t="s">
        <v>3786</v>
      </c>
      <c r="G279" t="s">
        <v>4550</v>
      </c>
    </row>
    <row r="280" spans="1:7" ht="11.25" customHeight="1">
      <c r="A280" t="s">
        <v>14</v>
      </c>
      <c r="B280" t="s">
        <v>4546</v>
      </c>
      <c r="C280" t="s">
        <v>4547</v>
      </c>
      <c r="D280" t="s">
        <v>4551</v>
      </c>
      <c r="E280" t="s">
        <v>4552</v>
      </c>
      <c r="F280" t="s">
        <v>3838</v>
      </c>
      <c r="G280" t="s">
        <v>4553</v>
      </c>
    </row>
    <row r="281" spans="1:7" ht="11.25" customHeight="1">
      <c r="A281" t="s">
        <v>14</v>
      </c>
      <c r="B281" t="s">
        <v>4546</v>
      </c>
      <c r="C281" t="s">
        <v>4547</v>
      </c>
      <c r="D281" t="s">
        <v>4546</v>
      </c>
      <c r="E281" t="s">
        <v>4547</v>
      </c>
      <c r="F281" t="s">
        <v>3783</v>
      </c>
      <c r="G281" t="s">
        <v>4554</v>
      </c>
    </row>
    <row r="282" spans="1:7" ht="11.25" customHeight="1">
      <c r="A282" t="s">
        <v>14</v>
      </c>
      <c r="B282" t="s">
        <v>4546</v>
      </c>
      <c r="C282" t="s">
        <v>4547</v>
      </c>
      <c r="D282" t="s">
        <v>4555</v>
      </c>
      <c r="E282" t="s">
        <v>4556</v>
      </c>
      <c r="F282" t="s">
        <v>3786</v>
      </c>
      <c r="G282" t="s">
        <v>4557</v>
      </c>
    </row>
    <row r="283" spans="1:7" ht="11.25" customHeight="1">
      <c r="A283" t="s">
        <v>14</v>
      </c>
      <c r="B283" t="s">
        <v>4546</v>
      </c>
      <c r="C283" t="s">
        <v>4547</v>
      </c>
      <c r="D283" t="s">
        <v>4558</v>
      </c>
      <c r="E283" t="s">
        <v>4559</v>
      </c>
      <c r="F283" t="s">
        <v>3786</v>
      </c>
      <c r="G283" t="s">
        <v>4560</v>
      </c>
    </row>
    <row r="284" spans="1:7" ht="11.25" customHeight="1">
      <c r="A284" t="s">
        <v>14</v>
      </c>
      <c r="B284" t="s">
        <v>4546</v>
      </c>
      <c r="C284" t="s">
        <v>4547</v>
      </c>
      <c r="D284" t="s">
        <v>4561</v>
      </c>
      <c r="E284" t="s">
        <v>4562</v>
      </c>
      <c r="F284" t="s">
        <v>3786</v>
      </c>
      <c r="G284" t="s">
        <v>4563</v>
      </c>
    </row>
    <row r="285" spans="1:7" ht="11.25" customHeight="1">
      <c r="A285" t="s">
        <v>14</v>
      </c>
      <c r="B285" t="s">
        <v>4564</v>
      </c>
      <c r="C285" t="s">
        <v>4565</v>
      </c>
      <c r="D285" t="s">
        <v>4564</v>
      </c>
      <c r="E285" t="s">
        <v>4565</v>
      </c>
      <c r="F285" t="s">
        <v>3780</v>
      </c>
      <c r="G285" t="s">
        <v>4566</v>
      </c>
    </row>
    <row r="286" spans="1:7" ht="11.25" customHeight="1">
      <c r="A286" t="s">
        <v>14</v>
      </c>
      <c r="B286" t="s">
        <v>4567</v>
      </c>
      <c r="C286" t="s">
        <v>4568</v>
      </c>
      <c r="D286" t="s">
        <v>4569</v>
      </c>
      <c r="E286" t="s">
        <v>4570</v>
      </c>
      <c r="F286" t="s">
        <v>3786</v>
      </c>
      <c r="G286" t="s">
        <v>4571</v>
      </c>
    </row>
    <row r="287" spans="1:7" ht="11.25" customHeight="1">
      <c r="A287" t="s">
        <v>14</v>
      </c>
      <c r="B287" t="s">
        <v>4567</v>
      </c>
      <c r="C287" t="s">
        <v>4568</v>
      </c>
      <c r="D287" t="s">
        <v>4572</v>
      </c>
      <c r="E287" t="s">
        <v>4573</v>
      </c>
      <c r="F287" t="s">
        <v>3786</v>
      </c>
      <c r="G287" t="s">
        <v>4574</v>
      </c>
    </row>
    <row r="288" spans="1:7" ht="11.25" customHeight="1">
      <c r="A288" t="s">
        <v>14</v>
      </c>
      <c r="B288" t="s">
        <v>4567</v>
      </c>
      <c r="C288" t="s">
        <v>4568</v>
      </c>
      <c r="D288" t="s">
        <v>4575</v>
      </c>
      <c r="E288" t="s">
        <v>4576</v>
      </c>
      <c r="F288" t="s">
        <v>3838</v>
      </c>
      <c r="G288" t="s">
        <v>4577</v>
      </c>
    </row>
    <row r="289" spans="1:7" ht="11.25" customHeight="1">
      <c r="A289" t="s">
        <v>14</v>
      </c>
      <c r="B289" t="s">
        <v>4567</v>
      </c>
      <c r="C289" t="s">
        <v>4568</v>
      </c>
      <c r="D289" t="s">
        <v>4578</v>
      </c>
      <c r="E289" t="s">
        <v>4579</v>
      </c>
      <c r="F289" t="s">
        <v>3838</v>
      </c>
      <c r="G289" t="s">
        <v>4580</v>
      </c>
    </row>
    <row r="290" spans="1:7" ht="11.25" customHeight="1">
      <c r="A290" t="s">
        <v>14</v>
      </c>
      <c r="B290" t="s">
        <v>4567</v>
      </c>
      <c r="C290" t="s">
        <v>4568</v>
      </c>
      <c r="D290" t="s">
        <v>4581</v>
      </c>
      <c r="E290" t="s">
        <v>4582</v>
      </c>
      <c r="F290" t="s">
        <v>3838</v>
      </c>
      <c r="G290" t="s">
        <v>4583</v>
      </c>
    </row>
    <row r="291" spans="1:7" ht="11.25" customHeight="1">
      <c r="A291" t="s">
        <v>14</v>
      </c>
      <c r="B291" t="s">
        <v>4567</v>
      </c>
      <c r="C291" t="s">
        <v>4568</v>
      </c>
      <c r="D291" t="s">
        <v>4584</v>
      </c>
      <c r="E291" t="s">
        <v>4585</v>
      </c>
      <c r="F291" t="s">
        <v>3786</v>
      </c>
      <c r="G291" t="s">
        <v>4586</v>
      </c>
    </row>
    <row r="292" spans="1:7" ht="11.25" customHeight="1">
      <c r="A292" t="s">
        <v>14</v>
      </c>
      <c r="B292" t="s">
        <v>4567</v>
      </c>
      <c r="C292" t="s">
        <v>4568</v>
      </c>
      <c r="D292" t="s">
        <v>4587</v>
      </c>
      <c r="E292" t="s">
        <v>4588</v>
      </c>
      <c r="F292" t="s">
        <v>3786</v>
      </c>
      <c r="G292" t="s">
        <v>4589</v>
      </c>
    </row>
    <row r="293" spans="1:7" ht="11.25" customHeight="1">
      <c r="A293" t="s">
        <v>14</v>
      </c>
      <c r="B293" t="s">
        <v>4567</v>
      </c>
      <c r="C293" t="s">
        <v>4568</v>
      </c>
      <c r="D293" t="s">
        <v>4590</v>
      </c>
      <c r="E293" t="s">
        <v>4591</v>
      </c>
      <c r="F293" t="s">
        <v>3786</v>
      </c>
      <c r="G293" t="s">
        <v>4592</v>
      </c>
    </row>
    <row r="294" spans="1:7" ht="11.25" customHeight="1">
      <c r="A294" t="s">
        <v>14</v>
      </c>
      <c r="B294" t="s">
        <v>4567</v>
      </c>
      <c r="C294" t="s">
        <v>4568</v>
      </c>
      <c r="D294" t="s">
        <v>4567</v>
      </c>
      <c r="E294" t="s">
        <v>4568</v>
      </c>
      <c r="F294" t="s">
        <v>3783</v>
      </c>
      <c r="G294" t="s">
        <v>4593</v>
      </c>
    </row>
    <row r="295" spans="1:7" ht="11.25" customHeight="1">
      <c r="A295" t="s">
        <v>14</v>
      </c>
      <c r="B295" t="s">
        <v>4567</v>
      </c>
      <c r="C295" t="s">
        <v>4568</v>
      </c>
      <c r="D295" t="s">
        <v>4594</v>
      </c>
      <c r="E295" t="s">
        <v>4595</v>
      </c>
      <c r="F295" t="s">
        <v>3793</v>
      </c>
      <c r="G295" t="s">
        <v>4596</v>
      </c>
    </row>
    <row r="296" spans="1:7" ht="11.25" customHeight="1">
      <c r="A296" t="s">
        <v>14</v>
      </c>
      <c r="B296" t="s">
        <v>4567</v>
      </c>
      <c r="C296" t="s">
        <v>4568</v>
      </c>
      <c r="D296" t="s">
        <v>4597</v>
      </c>
      <c r="E296" t="s">
        <v>4598</v>
      </c>
      <c r="F296" t="s">
        <v>3786</v>
      </c>
      <c r="G296" t="s">
        <v>4599</v>
      </c>
    </row>
    <row r="297" spans="1:7" ht="11.25" customHeight="1">
      <c r="A297" t="s">
        <v>14</v>
      </c>
      <c r="B297" t="s">
        <v>4600</v>
      </c>
      <c r="C297" t="s">
        <v>4601</v>
      </c>
      <c r="D297" t="s">
        <v>4600</v>
      </c>
      <c r="E297" t="s">
        <v>4601</v>
      </c>
      <c r="F297" t="s">
        <v>4099</v>
      </c>
      <c r="G297" t="s">
        <v>4602</v>
      </c>
    </row>
    <row r="298" spans="1:7" ht="11.25" customHeight="1">
      <c r="A298" t="s">
        <v>14</v>
      </c>
      <c r="B298" t="s">
        <v>4603</v>
      </c>
      <c r="C298" t="s">
        <v>4604</v>
      </c>
      <c r="D298" t="s">
        <v>4605</v>
      </c>
      <c r="E298" t="s">
        <v>4606</v>
      </c>
      <c r="F298" t="s">
        <v>3838</v>
      </c>
      <c r="G298" t="s">
        <v>4607</v>
      </c>
    </row>
    <row r="299" spans="1:7" ht="11.25" customHeight="1">
      <c r="A299" t="s">
        <v>14</v>
      </c>
      <c r="B299" t="s">
        <v>4603</v>
      </c>
      <c r="C299" t="s">
        <v>4604</v>
      </c>
      <c r="D299" t="s">
        <v>4608</v>
      </c>
      <c r="E299" t="s">
        <v>4609</v>
      </c>
      <c r="F299" t="s">
        <v>3786</v>
      </c>
      <c r="G299" t="s">
        <v>4610</v>
      </c>
    </row>
    <row r="300" spans="1:7" ht="11.25" customHeight="1">
      <c r="A300" t="s">
        <v>14</v>
      </c>
      <c r="B300" t="s">
        <v>4603</v>
      </c>
      <c r="C300" t="s">
        <v>4604</v>
      </c>
      <c r="D300" t="s">
        <v>4611</v>
      </c>
      <c r="E300" t="s">
        <v>4612</v>
      </c>
      <c r="F300" t="s">
        <v>3786</v>
      </c>
      <c r="G300" t="s">
        <v>4613</v>
      </c>
    </row>
    <row r="301" spans="1:7" ht="11.25" customHeight="1">
      <c r="A301" t="s">
        <v>14</v>
      </c>
      <c r="B301" t="s">
        <v>4603</v>
      </c>
      <c r="C301" t="s">
        <v>4604</v>
      </c>
      <c r="D301" t="s">
        <v>4614</v>
      </c>
      <c r="E301" t="s">
        <v>4615</v>
      </c>
      <c r="F301" t="s">
        <v>3786</v>
      </c>
      <c r="G301" t="s">
        <v>4616</v>
      </c>
    </row>
    <row r="302" spans="1:7" ht="11.25" customHeight="1">
      <c r="A302" t="s">
        <v>14</v>
      </c>
      <c r="B302" t="s">
        <v>4603</v>
      </c>
      <c r="C302" t="s">
        <v>4604</v>
      </c>
      <c r="D302" t="s">
        <v>4617</v>
      </c>
      <c r="E302" t="s">
        <v>4618</v>
      </c>
      <c r="F302" t="s">
        <v>3786</v>
      </c>
      <c r="G302" t="s">
        <v>4619</v>
      </c>
    </row>
    <row r="303" spans="1:7" ht="11.25" customHeight="1">
      <c r="A303" t="s">
        <v>14</v>
      </c>
      <c r="B303" t="s">
        <v>4603</v>
      </c>
      <c r="C303" t="s">
        <v>4604</v>
      </c>
      <c r="D303" t="s">
        <v>4603</v>
      </c>
      <c r="E303" t="s">
        <v>4604</v>
      </c>
      <c r="F303" t="s">
        <v>3783</v>
      </c>
      <c r="G303" t="s">
        <v>4620</v>
      </c>
    </row>
    <row r="304" spans="1:7" ht="11.25" customHeight="1">
      <c r="A304" t="s">
        <v>14</v>
      </c>
      <c r="B304" t="s">
        <v>4603</v>
      </c>
      <c r="C304" t="s">
        <v>4604</v>
      </c>
      <c r="D304" t="s">
        <v>4621</v>
      </c>
      <c r="E304" t="s">
        <v>4622</v>
      </c>
      <c r="F304" t="s">
        <v>3786</v>
      </c>
      <c r="G304" t="s">
        <v>4623</v>
      </c>
    </row>
    <row r="305" spans="1:7" ht="11.25" customHeight="1">
      <c r="A305" t="s">
        <v>14</v>
      </c>
      <c r="B305" t="s">
        <v>4603</v>
      </c>
      <c r="C305" t="s">
        <v>4604</v>
      </c>
      <c r="D305" t="s">
        <v>4624</v>
      </c>
      <c r="E305" t="s">
        <v>4625</v>
      </c>
      <c r="F305" t="s">
        <v>3786</v>
      </c>
      <c r="G305" t="s">
        <v>4626</v>
      </c>
    </row>
    <row r="306" spans="1:7" ht="11.25" customHeight="1">
      <c r="A306" t="s">
        <v>14</v>
      </c>
      <c r="B306" t="s">
        <v>4603</v>
      </c>
      <c r="C306" t="s">
        <v>4604</v>
      </c>
      <c r="D306" t="s">
        <v>4627</v>
      </c>
      <c r="E306" t="s">
        <v>4628</v>
      </c>
      <c r="F306" t="s">
        <v>3786</v>
      </c>
      <c r="G306" t="s">
        <v>4629</v>
      </c>
    </row>
    <row r="307" spans="1:7" ht="11.25" customHeight="1">
      <c r="A307" t="s">
        <v>14</v>
      </c>
      <c r="B307" t="s">
        <v>4630</v>
      </c>
      <c r="C307" t="s">
        <v>4631</v>
      </c>
      <c r="D307" t="s">
        <v>4630</v>
      </c>
      <c r="E307" t="s">
        <v>4631</v>
      </c>
      <c r="F307" t="s">
        <v>3780</v>
      </c>
      <c r="G307" t="s">
        <v>4632</v>
      </c>
    </row>
    <row r="308" spans="1:7" ht="11.25" customHeight="1">
      <c r="A308" t="s">
        <v>14</v>
      </c>
      <c r="B308" t="s">
        <v>4633</v>
      </c>
      <c r="C308" t="s">
        <v>4634</v>
      </c>
      <c r="D308" t="s">
        <v>4635</v>
      </c>
      <c r="E308" t="s">
        <v>4636</v>
      </c>
      <c r="F308" t="s">
        <v>3786</v>
      </c>
      <c r="G308" t="s">
        <v>4637</v>
      </c>
    </row>
    <row r="309" spans="1:7" ht="11.25" customHeight="1">
      <c r="A309" t="s">
        <v>14</v>
      </c>
      <c r="B309" t="s">
        <v>4633</v>
      </c>
      <c r="C309" t="s">
        <v>4634</v>
      </c>
      <c r="D309" t="s">
        <v>4638</v>
      </c>
      <c r="E309" t="s">
        <v>4639</v>
      </c>
      <c r="F309" t="s">
        <v>3786</v>
      </c>
      <c r="G309" t="s">
        <v>4640</v>
      </c>
    </row>
    <row r="310" spans="1:7" ht="11.25" customHeight="1">
      <c r="A310" t="s">
        <v>14</v>
      </c>
      <c r="B310" t="s">
        <v>4633</v>
      </c>
      <c r="C310" t="s">
        <v>4634</v>
      </c>
      <c r="D310" t="s">
        <v>4641</v>
      </c>
      <c r="E310" t="s">
        <v>4642</v>
      </c>
      <c r="F310" t="s">
        <v>3786</v>
      </c>
      <c r="G310" t="s">
        <v>4643</v>
      </c>
    </row>
    <row r="311" spans="1:7" ht="11.25" customHeight="1">
      <c r="A311" t="s">
        <v>14</v>
      </c>
      <c r="B311" t="s">
        <v>4633</v>
      </c>
      <c r="C311" t="s">
        <v>4634</v>
      </c>
      <c r="D311" t="s">
        <v>4109</v>
      </c>
      <c r="E311" t="s">
        <v>4644</v>
      </c>
      <c r="F311" t="s">
        <v>3786</v>
      </c>
      <c r="G311" t="s">
        <v>4645</v>
      </c>
    </row>
    <row r="312" spans="1:7" ht="11.25" customHeight="1">
      <c r="A312" t="s">
        <v>14</v>
      </c>
      <c r="B312" t="s">
        <v>4633</v>
      </c>
      <c r="C312" t="s">
        <v>4634</v>
      </c>
      <c r="D312" t="s">
        <v>4646</v>
      </c>
      <c r="E312" t="s">
        <v>4647</v>
      </c>
      <c r="F312" t="s">
        <v>3786</v>
      </c>
      <c r="G312" t="s">
        <v>4648</v>
      </c>
    </row>
    <row r="313" spans="1:7" ht="11.25" customHeight="1">
      <c r="A313" t="s">
        <v>14</v>
      </c>
      <c r="B313" t="s">
        <v>4633</v>
      </c>
      <c r="C313" t="s">
        <v>4634</v>
      </c>
      <c r="D313" t="s">
        <v>4392</v>
      </c>
      <c r="E313" t="s">
        <v>4649</v>
      </c>
      <c r="F313" t="s">
        <v>3786</v>
      </c>
      <c r="G313" t="s">
        <v>4650</v>
      </c>
    </row>
    <row r="314" spans="1:7" ht="11.25" customHeight="1">
      <c r="A314" t="s">
        <v>14</v>
      </c>
      <c r="B314" t="s">
        <v>4633</v>
      </c>
      <c r="C314" t="s">
        <v>4634</v>
      </c>
      <c r="D314" t="s">
        <v>4651</v>
      </c>
      <c r="E314" t="s">
        <v>4652</v>
      </c>
      <c r="F314" t="s">
        <v>3786</v>
      </c>
      <c r="G314" t="s">
        <v>4653</v>
      </c>
    </row>
    <row r="315" spans="1:7" ht="11.25" customHeight="1">
      <c r="A315" t="s">
        <v>14</v>
      </c>
      <c r="B315" t="s">
        <v>4633</v>
      </c>
      <c r="C315" t="s">
        <v>4634</v>
      </c>
      <c r="D315" t="s">
        <v>4654</v>
      </c>
      <c r="E315" t="s">
        <v>4655</v>
      </c>
      <c r="F315" t="s">
        <v>3786</v>
      </c>
      <c r="G315" t="s">
        <v>4656</v>
      </c>
    </row>
    <row r="316" spans="1:7" ht="11.25" customHeight="1">
      <c r="A316" t="s">
        <v>14</v>
      </c>
      <c r="B316" t="s">
        <v>4633</v>
      </c>
      <c r="C316" t="s">
        <v>4634</v>
      </c>
      <c r="D316" t="s">
        <v>4657</v>
      </c>
      <c r="E316" t="s">
        <v>4658</v>
      </c>
      <c r="F316" t="s">
        <v>3786</v>
      </c>
      <c r="G316" t="s">
        <v>4659</v>
      </c>
    </row>
    <row r="317" spans="1:7" ht="11.25" customHeight="1">
      <c r="A317" t="s">
        <v>14</v>
      </c>
      <c r="B317" t="s">
        <v>4633</v>
      </c>
      <c r="C317" t="s">
        <v>4634</v>
      </c>
      <c r="D317" t="s">
        <v>4633</v>
      </c>
      <c r="E317" t="s">
        <v>4634</v>
      </c>
      <c r="F317" t="s">
        <v>3783</v>
      </c>
      <c r="G317" t="s">
        <v>4660</v>
      </c>
    </row>
    <row r="318" spans="1:7" ht="11.25" customHeight="1">
      <c r="A318" t="s">
        <v>14</v>
      </c>
      <c r="B318" t="s">
        <v>4633</v>
      </c>
      <c r="C318" t="s">
        <v>4634</v>
      </c>
      <c r="D318" t="s">
        <v>4661</v>
      </c>
      <c r="E318" t="s">
        <v>4662</v>
      </c>
      <c r="F318" t="s">
        <v>3793</v>
      </c>
      <c r="G318" t="s">
        <v>4663</v>
      </c>
    </row>
    <row r="319" spans="1:7" ht="11.25" customHeight="1">
      <c r="A319" t="s">
        <v>14</v>
      </c>
      <c r="B319" t="s">
        <v>4633</v>
      </c>
      <c r="C319" t="s">
        <v>4634</v>
      </c>
      <c r="D319" t="s">
        <v>4664</v>
      </c>
      <c r="E319" t="s">
        <v>4665</v>
      </c>
      <c r="F319" t="s">
        <v>3786</v>
      </c>
      <c r="G319" t="s">
        <v>4666</v>
      </c>
    </row>
    <row r="320" spans="1:7" ht="11.25" customHeight="1">
      <c r="A320" t="s">
        <v>14</v>
      </c>
      <c r="B320" t="s">
        <v>4633</v>
      </c>
      <c r="C320" t="s">
        <v>4634</v>
      </c>
      <c r="D320" t="s">
        <v>4667</v>
      </c>
      <c r="E320" t="s">
        <v>4668</v>
      </c>
      <c r="F320" t="s">
        <v>3786</v>
      </c>
      <c r="G320" t="s">
        <v>4669</v>
      </c>
    </row>
    <row r="321" spans="1:7" ht="11.25" customHeight="1">
      <c r="A321" t="s">
        <v>14</v>
      </c>
      <c r="B321" t="s">
        <v>4670</v>
      </c>
      <c r="C321" t="s">
        <v>4671</v>
      </c>
      <c r="D321" t="s">
        <v>4670</v>
      </c>
      <c r="E321" t="s">
        <v>4671</v>
      </c>
      <c r="F321" t="s">
        <v>3780</v>
      </c>
      <c r="G321" t="s">
        <v>4672</v>
      </c>
    </row>
    <row r="322" spans="1:7" ht="11.25" customHeight="1">
      <c r="A322" t="s">
        <v>14</v>
      </c>
      <c r="B322" t="s">
        <v>4673</v>
      </c>
      <c r="C322" t="s">
        <v>4674</v>
      </c>
      <c r="D322" t="s">
        <v>4675</v>
      </c>
      <c r="E322" t="s">
        <v>4676</v>
      </c>
      <c r="F322" t="s">
        <v>3786</v>
      </c>
      <c r="G322" t="s">
        <v>4677</v>
      </c>
    </row>
    <row r="323" spans="1:7" ht="11.25" customHeight="1">
      <c r="A323" t="s">
        <v>14</v>
      </c>
      <c r="B323" t="s">
        <v>4673</v>
      </c>
      <c r="C323" t="s">
        <v>4674</v>
      </c>
      <c r="D323" t="s">
        <v>4678</v>
      </c>
      <c r="E323" t="s">
        <v>4679</v>
      </c>
      <c r="F323" t="s">
        <v>3786</v>
      </c>
      <c r="G323" t="s">
        <v>4680</v>
      </c>
    </row>
    <row r="324" spans="1:7" ht="11.25" customHeight="1">
      <c r="A324" t="s">
        <v>14</v>
      </c>
      <c r="B324" t="s">
        <v>4673</v>
      </c>
      <c r="C324" t="s">
        <v>4674</v>
      </c>
      <c r="D324" t="s">
        <v>4681</v>
      </c>
      <c r="E324" t="s">
        <v>4682</v>
      </c>
      <c r="F324" t="s">
        <v>3786</v>
      </c>
      <c r="G324" t="s">
        <v>4683</v>
      </c>
    </row>
    <row r="325" spans="1:7" ht="11.25" customHeight="1">
      <c r="A325" t="s">
        <v>14</v>
      </c>
      <c r="B325" t="s">
        <v>4673</v>
      </c>
      <c r="C325" t="s">
        <v>4674</v>
      </c>
      <c r="D325" t="s">
        <v>4389</v>
      </c>
      <c r="E325" t="s">
        <v>4684</v>
      </c>
      <c r="F325" t="s">
        <v>3786</v>
      </c>
      <c r="G325" t="s">
        <v>4685</v>
      </c>
    </row>
    <row r="326" spans="1:7" ht="11.25" customHeight="1">
      <c r="A326" t="s">
        <v>14</v>
      </c>
      <c r="B326" t="s">
        <v>4673</v>
      </c>
      <c r="C326" t="s">
        <v>4674</v>
      </c>
      <c r="D326" t="s">
        <v>4686</v>
      </c>
      <c r="E326" t="s">
        <v>4687</v>
      </c>
      <c r="F326" t="s">
        <v>3786</v>
      </c>
      <c r="G326" t="s">
        <v>4688</v>
      </c>
    </row>
    <row r="327" spans="1:7" ht="11.25" customHeight="1">
      <c r="A327" t="s">
        <v>14</v>
      </c>
      <c r="B327" t="s">
        <v>4673</v>
      </c>
      <c r="C327" t="s">
        <v>4674</v>
      </c>
      <c r="D327" t="s">
        <v>4689</v>
      </c>
      <c r="E327" t="s">
        <v>4690</v>
      </c>
      <c r="F327" t="s">
        <v>3786</v>
      </c>
      <c r="G327" t="s">
        <v>4691</v>
      </c>
    </row>
    <row r="328" spans="1:7" ht="11.25" customHeight="1">
      <c r="A328" t="s">
        <v>14</v>
      </c>
      <c r="B328" t="s">
        <v>4673</v>
      </c>
      <c r="C328" t="s">
        <v>4674</v>
      </c>
      <c r="D328" t="s">
        <v>4673</v>
      </c>
      <c r="E328" t="s">
        <v>4674</v>
      </c>
      <c r="F328" t="s">
        <v>3783</v>
      </c>
      <c r="G328" t="s">
        <v>4692</v>
      </c>
    </row>
    <row r="329" spans="1:7" ht="11.25" customHeight="1">
      <c r="A329" t="s">
        <v>14</v>
      </c>
      <c r="B329" t="s">
        <v>4673</v>
      </c>
      <c r="C329" t="s">
        <v>4674</v>
      </c>
      <c r="D329" t="s">
        <v>4693</v>
      </c>
      <c r="E329" t="s">
        <v>4694</v>
      </c>
      <c r="F329" t="s">
        <v>3786</v>
      </c>
      <c r="G329" t="s">
        <v>4695</v>
      </c>
    </row>
    <row r="330" spans="1:7" ht="11.25" customHeight="1">
      <c r="A330" t="s">
        <v>14</v>
      </c>
      <c r="B330" t="s">
        <v>4673</v>
      </c>
      <c r="C330" t="s">
        <v>4674</v>
      </c>
      <c r="D330" t="s">
        <v>4696</v>
      </c>
      <c r="E330" t="s">
        <v>4697</v>
      </c>
      <c r="F330" t="s">
        <v>3786</v>
      </c>
      <c r="G330" t="s">
        <v>4698</v>
      </c>
    </row>
    <row r="331" spans="1:7" ht="11.25" customHeight="1">
      <c r="A331" t="s">
        <v>14</v>
      </c>
      <c r="B331" t="s">
        <v>4673</v>
      </c>
      <c r="C331" t="s">
        <v>4674</v>
      </c>
      <c r="D331" t="s">
        <v>4699</v>
      </c>
      <c r="E331" t="s">
        <v>4700</v>
      </c>
      <c r="F331" t="s">
        <v>3786</v>
      </c>
      <c r="G331" t="s">
        <v>4701</v>
      </c>
    </row>
    <row r="332" spans="1:7" ht="11.25" customHeight="1">
      <c r="A332" t="s">
        <v>14</v>
      </c>
      <c r="B332" t="s">
        <v>4702</v>
      </c>
      <c r="C332" t="s">
        <v>4703</v>
      </c>
      <c r="D332" t="s">
        <v>4702</v>
      </c>
      <c r="E332" t="s">
        <v>4703</v>
      </c>
      <c r="F332" t="s">
        <v>4099</v>
      </c>
      <c r="G332" t="s">
        <v>4704</v>
      </c>
    </row>
    <row r="333" spans="1:7" ht="11.25" customHeight="1">
      <c r="A333" t="s">
        <v>14</v>
      </c>
      <c r="B333" t="s">
        <v>4705</v>
      </c>
      <c r="C333" t="s">
        <v>4706</v>
      </c>
      <c r="D333" t="s">
        <v>4705</v>
      </c>
      <c r="E333" t="s">
        <v>4706</v>
      </c>
      <c r="F333" t="s">
        <v>3780</v>
      </c>
      <c r="G333" t="s">
        <v>4707</v>
      </c>
    </row>
    <row r="334" spans="1:7" ht="11.25" customHeight="1">
      <c r="A334" t="s">
        <v>14</v>
      </c>
      <c r="B334" t="s">
        <v>4708</v>
      </c>
      <c r="C334" t="s">
        <v>4709</v>
      </c>
      <c r="D334" t="s">
        <v>4710</v>
      </c>
      <c r="E334" t="s">
        <v>4711</v>
      </c>
      <c r="F334" t="s">
        <v>3786</v>
      </c>
      <c r="G334" t="s">
        <v>4712</v>
      </c>
    </row>
    <row r="335" spans="1:7" ht="11.25" customHeight="1">
      <c r="A335" t="s">
        <v>14</v>
      </c>
      <c r="B335" t="s">
        <v>4708</v>
      </c>
      <c r="C335" t="s">
        <v>4709</v>
      </c>
      <c r="D335" t="s">
        <v>4713</v>
      </c>
      <c r="E335" t="s">
        <v>4714</v>
      </c>
      <c r="F335" t="s">
        <v>3786</v>
      </c>
      <c r="G335" t="s">
        <v>4715</v>
      </c>
    </row>
    <row r="336" spans="1:7" ht="11.25" customHeight="1">
      <c r="A336" t="s">
        <v>14</v>
      </c>
      <c r="B336" t="s">
        <v>4708</v>
      </c>
      <c r="C336" t="s">
        <v>4709</v>
      </c>
      <c r="D336" t="s">
        <v>3949</v>
      </c>
      <c r="E336" t="s">
        <v>4716</v>
      </c>
      <c r="F336" t="s">
        <v>3786</v>
      </c>
      <c r="G336" t="s">
        <v>4717</v>
      </c>
    </row>
    <row r="337" spans="1:7" ht="11.25" customHeight="1">
      <c r="A337" t="s">
        <v>14</v>
      </c>
      <c r="B337" t="s">
        <v>4708</v>
      </c>
      <c r="C337" t="s">
        <v>4709</v>
      </c>
      <c r="D337" t="s">
        <v>4718</v>
      </c>
      <c r="E337" t="s">
        <v>4719</v>
      </c>
      <c r="F337" t="s">
        <v>3838</v>
      </c>
      <c r="G337" t="s">
        <v>4720</v>
      </c>
    </row>
    <row r="338" spans="1:7" ht="11.25" customHeight="1">
      <c r="A338" t="s">
        <v>14</v>
      </c>
      <c r="B338" t="s">
        <v>4708</v>
      </c>
      <c r="C338" t="s">
        <v>4709</v>
      </c>
      <c r="D338" t="s">
        <v>4721</v>
      </c>
      <c r="E338" t="s">
        <v>4722</v>
      </c>
      <c r="F338" t="s">
        <v>3786</v>
      </c>
      <c r="G338" t="s">
        <v>4723</v>
      </c>
    </row>
    <row r="339" spans="1:7" ht="11.25" customHeight="1">
      <c r="A339" t="s">
        <v>14</v>
      </c>
      <c r="B339" t="s">
        <v>4708</v>
      </c>
      <c r="C339" t="s">
        <v>4709</v>
      </c>
      <c r="D339" t="s">
        <v>4724</v>
      </c>
      <c r="E339" t="s">
        <v>4725</v>
      </c>
      <c r="F339" t="s">
        <v>3786</v>
      </c>
      <c r="G339" t="s">
        <v>4726</v>
      </c>
    </row>
    <row r="340" spans="1:7" ht="11.25" customHeight="1">
      <c r="A340" t="s">
        <v>14</v>
      </c>
      <c r="B340" t="s">
        <v>4708</v>
      </c>
      <c r="C340" t="s">
        <v>4709</v>
      </c>
      <c r="D340" t="s">
        <v>3935</v>
      </c>
      <c r="E340" t="s">
        <v>4727</v>
      </c>
      <c r="F340" t="s">
        <v>3786</v>
      </c>
      <c r="G340" t="s">
        <v>4728</v>
      </c>
    </row>
    <row r="341" spans="1:7" ht="11.25" customHeight="1">
      <c r="A341" t="s">
        <v>14</v>
      </c>
      <c r="B341" t="s">
        <v>4708</v>
      </c>
      <c r="C341" t="s">
        <v>4709</v>
      </c>
      <c r="D341" t="s">
        <v>4729</v>
      </c>
      <c r="E341" t="s">
        <v>4730</v>
      </c>
      <c r="F341" t="s">
        <v>3786</v>
      </c>
      <c r="G341" t="s">
        <v>4731</v>
      </c>
    </row>
    <row r="342" spans="1:7" ht="11.25" customHeight="1">
      <c r="A342" t="s">
        <v>14</v>
      </c>
      <c r="B342" t="s">
        <v>4708</v>
      </c>
      <c r="C342" t="s">
        <v>4709</v>
      </c>
      <c r="D342" t="s">
        <v>4708</v>
      </c>
      <c r="E342" t="s">
        <v>4709</v>
      </c>
      <c r="F342" t="s">
        <v>3783</v>
      </c>
      <c r="G342" t="s">
        <v>4732</v>
      </c>
    </row>
    <row r="343" spans="1:7" ht="11.25" customHeight="1">
      <c r="A343" t="s">
        <v>14</v>
      </c>
      <c r="B343" t="s">
        <v>4708</v>
      </c>
      <c r="C343" t="s">
        <v>4709</v>
      </c>
      <c r="D343" t="s">
        <v>4733</v>
      </c>
      <c r="E343" t="s">
        <v>4734</v>
      </c>
      <c r="F343" t="s">
        <v>3786</v>
      </c>
      <c r="G343" t="s">
        <v>4735</v>
      </c>
    </row>
    <row r="344" spans="1:7" ht="11.25" customHeight="1">
      <c r="A344" t="s">
        <v>14</v>
      </c>
      <c r="B344" t="s">
        <v>4708</v>
      </c>
      <c r="C344" t="s">
        <v>4709</v>
      </c>
      <c r="D344" t="s">
        <v>4736</v>
      </c>
      <c r="E344" t="s">
        <v>4737</v>
      </c>
      <c r="F344" t="s">
        <v>3786</v>
      </c>
      <c r="G344" t="s">
        <v>4738</v>
      </c>
    </row>
    <row r="345" spans="1:7" ht="11.25" customHeight="1">
      <c r="A345" t="s">
        <v>14</v>
      </c>
      <c r="B345" t="s">
        <v>4708</v>
      </c>
      <c r="C345" t="s">
        <v>4709</v>
      </c>
      <c r="D345" t="s">
        <v>4739</v>
      </c>
      <c r="E345" t="s">
        <v>4740</v>
      </c>
      <c r="F345" t="s">
        <v>3786</v>
      </c>
      <c r="G345" t="s">
        <v>4741</v>
      </c>
    </row>
    <row r="346" spans="1:7" ht="11.25" customHeight="1">
      <c r="A346" t="s">
        <v>14</v>
      </c>
      <c r="B346" t="s">
        <v>4742</v>
      </c>
      <c r="C346" t="s">
        <v>4743</v>
      </c>
      <c r="D346" t="s">
        <v>4742</v>
      </c>
      <c r="E346" t="s">
        <v>4743</v>
      </c>
      <c r="F346" t="s">
        <v>3780</v>
      </c>
      <c r="G346" t="s">
        <v>4744</v>
      </c>
    </row>
    <row r="347" spans="1:7" ht="11.25" customHeight="1">
      <c r="A347" t="s">
        <v>14</v>
      </c>
      <c r="B347" t="s">
        <v>4745</v>
      </c>
      <c r="C347" t="s">
        <v>4746</v>
      </c>
      <c r="D347" t="s">
        <v>4747</v>
      </c>
      <c r="E347" t="s">
        <v>4748</v>
      </c>
      <c r="F347" t="s">
        <v>3786</v>
      </c>
      <c r="G347" t="s">
        <v>4749</v>
      </c>
    </row>
    <row r="348" spans="1:7" ht="11.25" customHeight="1">
      <c r="A348" t="s">
        <v>14</v>
      </c>
      <c r="B348" t="s">
        <v>4745</v>
      </c>
      <c r="C348" t="s">
        <v>4746</v>
      </c>
      <c r="D348" t="s">
        <v>4750</v>
      </c>
      <c r="E348" t="s">
        <v>4751</v>
      </c>
      <c r="F348" t="s">
        <v>3786</v>
      </c>
      <c r="G348" t="s">
        <v>4752</v>
      </c>
    </row>
    <row r="349" spans="1:7" ht="11.25" customHeight="1">
      <c r="A349" t="s">
        <v>14</v>
      </c>
      <c r="B349" t="s">
        <v>4745</v>
      </c>
      <c r="C349" t="s">
        <v>4746</v>
      </c>
      <c r="D349" t="s">
        <v>4753</v>
      </c>
      <c r="E349" t="s">
        <v>4754</v>
      </c>
      <c r="F349" t="s">
        <v>3786</v>
      </c>
      <c r="G349" t="s">
        <v>4755</v>
      </c>
    </row>
    <row r="350" spans="1:7" ht="11.25" customHeight="1">
      <c r="A350" t="s">
        <v>14</v>
      </c>
      <c r="B350" t="s">
        <v>4745</v>
      </c>
      <c r="C350" t="s">
        <v>4746</v>
      </c>
      <c r="D350" t="s">
        <v>4756</v>
      </c>
      <c r="E350" t="s">
        <v>4757</v>
      </c>
      <c r="F350" t="s">
        <v>3786</v>
      </c>
      <c r="G350" t="s">
        <v>4758</v>
      </c>
    </row>
    <row r="351" spans="1:7" ht="11.25" customHeight="1">
      <c r="A351" t="s">
        <v>14</v>
      </c>
      <c r="B351" t="s">
        <v>4745</v>
      </c>
      <c r="C351" t="s">
        <v>4746</v>
      </c>
      <c r="D351" t="s">
        <v>4759</v>
      </c>
      <c r="E351" t="s">
        <v>4760</v>
      </c>
      <c r="F351" t="s">
        <v>3786</v>
      </c>
      <c r="G351" t="s">
        <v>4761</v>
      </c>
    </row>
    <row r="352" spans="1:7" ht="11.25" customHeight="1">
      <c r="A352" t="s">
        <v>14</v>
      </c>
      <c r="B352" t="s">
        <v>4745</v>
      </c>
      <c r="C352" t="s">
        <v>4746</v>
      </c>
      <c r="D352" t="s">
        <v>4463</v>
      </c>
      <c r="E352" t="s">
        <v>4762</v>
      </c>
      <c r="F352" t="s">
        <v>3786</v>
      </c>
      <c r="G352" t="s">
        <v>4763</v>
      </c>
    </row>
    <row r="353" spans="1:7" ht="11.25" customHeight="1">
      <c r="A353" t="s">
        <v>14</v>
      </c>
      <c r="B353" t="s">
        <v>4745</v>
      </c>
      <c r="C353" t="s">
        <v>4746</v>
      </c>
      <c r="D353" t="s">
        <v>4745</v>
      </c>
      <c r="E353" t="s">
        <v>4746</v>
      </c>
      <c r="F353" t="s">
        <v>3783</v>
      </c>
      <c r="G353" t="s">
        <v>4764</v>
      </c>
    </row>
    <row r="354" spans="1:7" ht="11.25" customHeight="1">
      <c r="A354" t="s">
        <v>14</v>
      </c>
      <c r="B354" t="s">
        <v>4745</v>
      </c>
      <c r="C354" t="s">
        <v>4746</v>
      </c>
      <c r="D354" t="s">
        <v>4765</v>
      </c>
      <c r="E354" t="s">
        <v>4766</v>
      </c>
      <c r="F354" t="s">
        <v>3786</v>
      </c>
      <c r="G354" t="s">
        <v>4767</v>
      </c>
    </row>
    <row r="355" spans="1:7" ht="11.25" customHeight="1">
      <c r="A355" t="s">
        <v>14</v>
      </c>
      <c r="B355" t="s">
        <v>4768</v>
      </c>
      <c r="C355" t="s">
        <v>4769</v>
      </c>
      <c r="D355" t="s">
        <v>4768</v>
      </c>
      <c r="E355" t="s">
        <v>4769</v>
      </c>
      <c r="F355" t="s">
        <v>4099</v>
      </c>
      <c r="G355" t="s">
        <v>4770</v>
      </c>
    </row>
    <row r="356" spans="1:7" ht="11.25" customHeight="1">
      <c r="A356" t="s">
        <v>14</v>
      </c>
      <c r="B356" t="s">
        <v>4771</v>
      </c>
      <c r="C356" t="s">
        <v>4772</v>
      </c>
      <c r="D356" t="s">
        <v>4771</v>
      </c>
      <c r="E356" t="s">
        <v>4772</v>
      </c>
      <c r="F356" t="s">
        <v>3780</v>
      </c>
      <c r="G356" t="s">
        <v>4773</v>
      </c>
    </row>
    <row r="357" spans="1:7" ht="11.25" customHeight="1">
      <c r="A357" t="s">
        <v>14</v>
      </c>
      <c r="B357" t="s">
        <v>4774</v>
      </c>
      <c r="C357" t="s">
        <v>4775</v>
      </c>
      <c r="D357" t="s">
        <v>4776</v>
      </c>
      <c r="E357" t="s">
        <v>4777</v>
      </c>
      <c r="F357" t="s">
        <v>3786</v>
      </c>
      <c r="G357" t="s">
        <v>4778</v>
      </c>
    </row>
    <row r="358" spans="1:7" ht="11.25" customHeight="1">
      <c r="A358" t="s">
        <v>14</v>
      </c>
      <c r="B358" t="s">
        <v>4774</v>
      </c>
      <c r="C358" t="s">
        <v>4775</v>
      </c>
      <c r="D358" t="s">
        <v>4779</v>
      </c>
      <c r="E358" t="s">
        <v>4780</v>
      </c>
      <c r="F358" t="s">
        <v>3786</v>
      </c>
      <c r="G358" t="s">
        <v>4781</v>
      </c>
    </row>
    <row r="359" spans="1:7" ht="11.25" customHeight="1">
      <c r="A359" t="s">
        <v>14</v>
      </c>
      <c r="B359" t="s">
        <v>4774</v>
      </c>
      <c r="C359" t="s">
        <v>4775</v>
      </c>
      <c r="D359" t="s">
        <v>4782</v>
      </c>
      <c r="E359" t="s">
        <v>4783</v>
      </c>
      <c r="F359" t="s">
        <v>3786</v>
      </c>
      <c r="G359" t="s">
        <v>4784</v>
      </c>
    </row>
    <row r="360" spans="1:7" ht="11.25" customHeight="1">
      <c r="A360" t="s">
        <v>14</v>
      </c>
      <c r="B360" t="s">
        <v>4774</v>
      </c>
      <c r="C360" t="s">
        <v>4775</v>
      </c>
      <c r="D360" t="s">
        <v>4785</v>
      </c>
      <c r="E360" t="s">
        <v>4786</v>
      </c>
      <c r="F360" t="s">
        <v>3786</v>
      </c>
      <c r="G360" t="s">
        <v>4787</v>
      </c>
    </row>
    <row r="361" spans="1:7" ht="11.25" customHeight="1">
      <c r="A361" t="s">
        <v>14</v>
      </c>
      <c r="B361" t="s">
        <v>4774</v>
      </c>
      <c r="C361" t="s">
        <v>4775</v>
      </c>
      <c r="D361" t="s">
        <v>4788</v>
      </c>
      <c r="E361" t="s">
        <v>4789</v>
      </c>
      <c r="F361" t="s">
        <v>3786</v>
      </c>
      <c r="G361" t="s">
        <v>4790</v>
      </c>
    </row>
    <row r="362" spans="1:7" ht="11.25" customHeight="1">
      <c r="A362" t="s">
        <v>14</v>
      </c>
      <c r="B362" t="s">
        <v>4774</v>
      </c>
      <c r="C362" t="s">
        <v>4775</v>
      </c>
      <c r="D362" t="s">
        <v>4791</v>
      </c>
      <c r="E362" t="s">
        <v>4792</v>
      </c>
      <c r="F362" t="s">
        <v>3793</v>
      </c>
      <c r="G362" t="s">
        <v>4793</v>
      </c>
    </row>
    <row r="363" spans="1:7" ht="11.25" customHeight="1">
      <c r="A363" t="s">
        <v>14</v>
      </c>
      <c r="B363" t="s">
        <v>4774</v>
      </c>
      <c r="C363" t="s">
        <v>4775</v>
      </c>
      <c r="D363" t="s">
        <v>4794</v>
      </c>
      <c r="E363" t="s">
        <v>4795</v>
      </c>
      <c r="F363" t="s">
        <v>3786</v>
      </c>
      <c r="G363" t="s">
        <v>4796</v>
      </c>
    </row>
    <row r="364" spans="1:7" ht="11.25" customHeight="1">
      <c r="A364" t="s">
        <v>14</v>
      </c>
      <c r="B364" t="s">
        <v>4774</v>
      </c>
      <c r="C364" t="s">
        <v>4775</v>
      </c>
      <c r="D364" t="s">
        <v>4797</v>
      </c>
      <c r="E364" t="s">
        <v>4798</v>
      </c>
      <c r="F364" t="s">
        <v>3786</v>
      </c>
      <c r="G364" t="s">
        <v>4799</v>
      </c>
    </row>
    <row r="365" spans="1:7" ht="11.25" customHeight="1">
      <c r="A365" t="s">
        <v>14</v>
      </c>
      <c r="B365" t="s">
        <v>4774</v>
      </c>
      <c r="C365" t="s">
        <v>4775</v>
      </c>
      <c r="D365" t="s">
        <v>4774</v>
      </c>
      <c r="E365" t="s">
        <v>4775</v>
      </c>
      <c r="F365" t="s">
        <v>3783</v>
      </c>
      <c r="G365" t="s">
        <v>4800</v>
      </c>
    </row>
    <row r="366" spans="1:7" ht="11.25" customHeight="1">
      <c r="A366" t="s">
        <v>14</v>
      </c>
      <c r="B366" t="s">
        <v>4774</v>
      </c>
      <c r="C366" t="s">
        <v>4775</v>
      </c>
      <c r="D366" t="s">
        <v>4801</v>
      </c>
      <c r="E366" t="s">
        <v>4802</v>
      </c>
      <c r="F366" t="s">
        <v>3786</v>
      </c>
      <c r="G366" t="s">
        <v>4803</v>
      </c>
    </row>
    <row r="367" spans="1:7" ht="11.25" customHeight="1">
      <c r="A367" t="s">
        <v>14</v>
      </c>
      <c r="B367" t="s">
        <v>4804</v>
      </c>
      <c r="C367" t="s">
        <v>4805</v>
      </c>
      <c r="D367" t="s">
        <v>4804</v>
      </c>
      <c r="E367" t="s">
        <v>4805</v>
      </c>
      <c r="F367" t="s">
        <v>3780</v>
      </c>
      <c r="G367" t="s">
        <v>4806</v>
      </c>
    </row>
    <row r="368" spans="1:7" ht="11.25" customHeight="1">
      <c r="A368" t="s">
        <v>14</v>
      </c>
      <c r="B368" t="s">
        <v>4807</v>
      </c>
      <c r="C368" t="s">
        <v>4808</v>
      </c>
      <c r="D368" t="s">
        <v>4809</v>
      </c>
      <c r="E368" t="s">
        <v>4810</v>
      </c>
      <c r="F368" t="s">
        <v>3786</v>
      </c>
      <c r="G368" t="s">
        <v>4811</v>
      </c>
    </row>
    <row r="369" spans="1:7" ht="11.25" customHeight="1">
      <c r="A369" t="s">
        <v>14</v>
      </c>
      <c r="B369" t="s">
        <v>4807</v>
      </c>
      <c r="C369" t="s">
        <v>4808</v>
      </c>
      <c r="D369" t="s">
        <v>4812</v>
      </c>
      <c r="E369" t="s">
        <v>4813</v>
      </c>
      <c r="F369" t="s">
        <v>3786</v>
      </c>
      <c r="G369" t="s">
        <v>4814</v>
      </c>
    </row>
    <row r="370" spans="1:7" ht="11.25" customHeight="1">
      <c r="A370" t="s">
        <v>14</v>
      </c>
      <c r="B370" t="s">
        <v>4807</v>
      </c>
      <c r="C370" t="s">
        <v>4808</v>
      </c>
      <c r="D370" t="s">
        <v>4815</v>
      </c>
      <c r="E370" t="s">
        <v>4816</v>
      </c>
      <c r="F370" t="s">
        <v>3786</v>
      </c>
      <c r="G370" t="s">
        <v>4817</v>
      </c>
    </row>
    <row r="371" spans="1:7" ht="11.25" customHeight="1">
      <c r="A371" t="s">
        <v>14</v>
      </c>
      <c r="B371" t="s">
        <v>4807</v>
      </c>
      <c r="C371" t="s">
        <v>4808</v>
      </c>
      <c r="D371" t="s">
        <v>4818</v>
      </c>
      <c r="E371" t="s">
        <v>4819</v>
      </c>
      <c r="F371" t="s">
        <v>3786</v>
      </c>
      <c r="G371" t="s">
        <v>4820</v>
      </c>
    </row>
    <row r="372" spans="1:7" ht="11.25" customHeight="1">
      <c r="A372" t="s">
        <v>14</v>
      </c>
      <c r="B372" t="s">
        <v>4807</v>
      </c>
      <c r="C372" t="s">
        <v>4808</v>
      </c>
      <c r="D372" t="s">
        <v>4821</v>
      </c>
      <c r="E372" t="s">
        <v>4822</v>
      </c>
      <c r="F372" t="s">
        <v>3786</v>
      </c>
      <c r="G372" t="s">
        <v>4823</v>
      </c>
    </row>
    <row r="373" spans="1:7" ht="11.25" customHeight="1">
      <c r="A373" t="s">
        <v>14</v>
      </c>
      <c r="B373" t="s">
        <v>4807</v>
      </c>
      <c r="C373" t="s">
        <v>4808</v>
      </c>
      <c r="D373" t="s">
        <v>4807</v>
      </c>
      <c r="E373" t="s">
        <v>4808</v>
      </c>
      <c r="F373" t="s">
        <v>3783</v>
      </c>
      <c r="G373" t="s">
        <v>4824</v>
      </c>
    </row>
    <row r="374" spans="1:7" ht="11.25" customHeight="1">
      <c r="A374" t="s">
        <v>14</v>
      </c>
      <c r="B374" t="s">
        <v>4807</v>
      </c>
      <c r="C374" t="s">
        <v>4808</v>
      </c>
      <c r="D374" t="s">
        <v>4825</v>
      </c>
      <c r="E374" t="s">
        <v>4826</v>
      </c>
      <c r="F374" t="s">
        <v>3786</v>
      </c>
      <c r="G374" t="s">
        <v>4827</v>
      </c>
    </row>
    <row r="375" spans="1:7" ht="11.25" customHeight="1">
      <c r="A375" t="s">
        <v>14</v>
      </c>
      <c r="B375" t="s">
        <v>4807</v>
      </c>
      <c r="C375" t="s">
        <v>4808</v>
      </c>
      <c r="D375" t="s">
        <v>4828</v>
      </c>
      <c r="E375" t="s">
        <v>4829</v>
      </c>
      <c r="F375" t="s">
        <v>3786</v>
      </c>
      <c r="G375" t="s">
        <v>4830</v>
      </c>
    </row>
    <row r="376" spans="1:7" ht="11.25" customHeight="1">
      <c r="A376" t="s">
        <v>14</v>
      </c>
      <c r="B376" t="s">
        <v>4831</v>
      </c>
      <c r="C376" t="s">
        <v>4832</v>
      </c>
      <c r="D376" t="s">
        <v>4831</v>
      </c>
      <c r="E376" t="s">
        <v>4832</v>
      </c>
      <c r="F376" t="s">
        <v>3780</v>
      </c>
      <c r="G376" t="s">
        <v>4833</v>
      </c>
    </row>
    <row r="377" spans="1:7" ht="11.25" customHeight="1">
      <c r="A377" t="s">
        <v>14</v>
      </c>
      <c r="B377" t="s">
        <v>4834</v>
      </c>
      <c r="C377" t="s">
        <v>4835</v>
      </c>
      <c r="D377" t="s">
        <v>4836</v>
      </c>
      <c r="E377" t="s">
        <v>4837</v>
      </c>
      <c r="F377" t="s">
        <v>3786</v>
      </c>
      <c r="G377" t="s">
        <v>4838</v>
      </c>
    </row>
    <row r="378" spans="1:7" ht="11.25" customHeight="1">
      <c r="A378" t="s">
        <v>14</v>
      </c>
      <c r="B378" t="s">
        <v>4834</v>
      </c>
      <c r="C378" t="s">
        <v>4835</v>
      </c>
      <c r="D378" t="s">
        <v>4839</v>
      </c>
      <c r="E378" t="s">
        <v>4840</v>
      </c>
      <c r="F378" t="s">
        <v>3786</v>
      </c>
      <c r="G378" t="s">
        <v>4841</v>
      </c>
    </row>
    <row r="379" spans="1:7" ht="11.25" customHeight="1">
      <c r="A379" t="s">
        <v>14</v>
      </c>
      <c r="B379" t="s">
        <v>4834</v>
      </c>
      <c r="C379" t="s">
        <v>4835</v>
      </c>
      <c r="D379" t="s">
        <v>4842</v>
      </c>
      <c r="E379" t="s">
        <v>4843</v>
      </c>
      <c r="F379" t="s">
        <v>3786</v>
      </c>
      <c r="G379" t="s">
        <v>4844</v>
      </c>
    </row>
    <row r="380" spans="1:7" ht="11.25" customHeight="1">
      <c r="A380" t="s">
        <v>14</v>
      </c>
      <c r="B380" t="s">
        <v>4834</v>
      </c>
      <c r="C380" t="s">
        <v>4835</v>
      </c>
      <c r="D380" t="s">
        <v>4845</v>
      </c>
      <c r="E380" t="s">
        <v>4846</v>
      </c>
      <c r="F380" t="s">
        <v>3786</v>
      </c>
      <c r="G380" t="s">
        <v>4847</v>
      </c>
    </row>
    <row r="381" spans="1:7" ht="11.25" customHeight="1">
      <c r="A381" t="s">
        <v>14</v>
      </c>
      <c r="B381" t="s">
        <v>4834</v>
      </c>
      <c r="C381" t="s">
        <v>4835</v>
      </c>
      <c r="D381" t="s">
        <v>4848</v>
      </c>
      <c r="E381" t="s">
        <v>4849</v>
      </c>
      <c r="F381" t="s">
        <v>3793</v>
      </c>
      <c r="G381" t="s">
        <v>4850</v>
      </c>
    </row>
    <row r="382" spans="1:7" ht="11.25" customHeight="1">
      <c r="A382" t="s">
        <v>14</v>
      </c>
      <c r="B382" t="s">
        <v>4834</v>
      </c>
      <c r="C382" t="s">
        <v>4835</v>
      </c>
      <c r="D382" t="s">
        <v>4834</v>
      </c>
      <c r="E382" t="s">
        <v>4835</v>
      </c>
      <c r="F382" t="s">
        <v>3783</v>
      </c>
      <c r="G382" t="s">
        <v>4851</v>
      </c>
    </row>
    <row r="383" spans="1:7" ht="11.25" customHeight="1">
      <c r="A383" t="s">
        <v>14</v>
      </c>
      <c r="B383" t="s">
        <v>4852</v>
      </c>
      <c r="C383" t="s">
        <v>4853</v>
      </c>
      <c r="D383" t="s">
        <v>4852</v>
      </c>
      <c r="E383" t="s">
        <v>4853</v>
      </c>
      <c r="F383" t="s">
        <v>3780</v>
      </c>
      <c r="G383" t="s">
        <v>4854</v>
      </c>
    </row>
    <row r="384" spans="1:7" ht="11.25" customHeight="1">
      <c r="A384" t="s">
        <v>14</v>
      </c>
      <c r="B384" t="s">
        <v>4855</v>
      </c>
      <c r="C384" t="s">
        <v>4856</v>
      </c>
      <c r="D384" t="s">
        <v>4857</v>
      </c>
      <c r="E384" t="s">
        <v>4858</v>
      </c>
      <c r="F384" t="s">
        <v>3786</v>
      </c>
      <c r="G384" t="s">
        <v>4859</v>
      </c>
    </row>
    <row r="385" spans="1:7" ht="11.25" customHeight="1">
      <c r="A385" t="s">
        <v>14</v>
      </c>
      <c r="B385" t="s">
        <v>4855</v>
      </c>
      <c r="C385" t="s">
        <v>4856</v>
      </c>
      <c r="D385" t="s">
        <v>4860</v>
      </c>
      <c r="E385" t="s">
        <v>4861</v>
      </c>
      <c r="F385" t="s">
        <v>3786</v>
      </c>
      <c r="G385" t="s">
        <v>4862</v>
      </c>
    </row>
    <row r="386" spans="1:7" ht="11.25" customHeight="1">
      <c r="A386" t="s">
        <v>14</v>
      </c>
      <c r="B386" t="s">
        <v>4855</v>
      </c>
      <c r="C386" t="s">
        <v>4856</v>
      </c>
      <c r="D386" t="s">
        <v>4863</v>
      </c>
      <c r="E386" t="s">
        <v>4864</v>
      </c>
      <c r="F386" t="s">
        <v>3786</v>
      </c>
      <c r="G386" t="s">
        <v>4865</v>
      </c>
    </row>
    <row r="387" spans="1:7" ht="11.25" customHeight="1">
      <c r="A387" t="s">
        <v>14</v>
      </c>
      <c r="B387" t="s">
        <v>4855</v>
      </c>
      <c r="C387" t="s">
        <v>4856</v>
      </c>
      <c r="D387" t="s">
        <v>4866</v>
      </c>
      <c r="E387" t="s">
        <v>4867</v>
      </c>
      <c r="F387" t="s">
        <v>3786</v>
      </c>
      <c r="G387" t="s">
        <v>4868</v>
      </c>
    </row>
    <row r="388" spans="1:7" ht="11.25" customHeight="1">
      <c r="A388" t="s">
        <v>14</v>
      </c>
      <c r="B388" t="s">
        <v>4855</v>
      </c>
      <c r="C388" t="s">
        <v>4856</v>
      </c>
      <c r="D388" t="s">
        <v>4869</v>
      </c>
      <c r="E388" t="s">
        <v>4870</v>
      </c>
      <c r="F388" t="s">
        <v>3786</v>
      </c>
      <c r="G388" t="s">
        <v>4871</v>
      </c>
    </row>
    <row r="389" spans="1:7" ht="11.25" customHeight="1">
      <c r="A389" t="s">
        <v>14</v>
      </c>
      <c r="B389" t="s">
        <v>4855</v>
      </c>
      <c r="C389" t="s">
        <v>4856</v>
      </c>
      <c r="D389" t="s">
        <v>4872</v>
      </c>
      <c r="E389" t="s">
        <v>4873</v>
      </c>
      <c r="F389" t="s">
        <v>3793</v>
      </c>
      <c r="G389" t="s">
        <v>4874</v>
      </c>
    </row>
    <row r="390" spans="1:7" ht="11.25" customHeight="1">
      <c r="A390" t="s">
        <v>14</v>
      </c>
      <c r="B390" t="s">
        <v>4855</v>
      </c>
      <c r="C390" t="s">
        <v>4856</v>
      </c>
      <c r="D390" t="s">
        <v>4875</v>
      </c>
      <c r="E390" t="s">
        <v>4876</v>
      </c>
      <c r="F390" t="s">
        <v>3793</v>
      </c>
      <c r="G390" t="s">
        <v>4877</v>
      </c>
    </row>
    <row r="391" spans="1:7" ht="11.25" customHeight="1">
      <c r="A391" t="s">
        <v>14</v>
      </c>
      <c r="B391" t="s">
        <v>4855</v>
      </c>
      <c r="C391" t="s">
        <v>4856</v>
      </c>
      <c r="D391" t="s">
        <v>4878</v>
      </c>
      <c r="E391" t="s">
        <v>4879</v>
      </c>
      <c r="F391" t="s">
        <v>3793</v>
      </c>
      <c r="G391" t="s">
        <v>4880</v>
      </c>
    </row>
    <row r="392" spans="1:7" ht="11.25" customHeight="1">
      <c r="A392" t="s">
        <v>14</v>
      </c>
      <c r="B392" t="s">
        <v>4855</v>
      </c>
      <c r="C392" t="s">
        <v>4856</v>
      </c>
      <c r="D392" t="s">
        <v>4855</v>
      </c>
      <c r="E392" t="s">
        <v>4856</v>
      </c>
      <c r="F392" t="s">
        <v>3783</v>
      </c>
      <c r="G392" t="s">
        <v>4881</v>
      </c>
    </row>
    <row r="393" spans="1:7" ht="11.25" customHeight="1">
      <c r="A393" t="s">
        <v>14</v>
      </c>
      <c r="B393" t="s">
        <v>4855</v>
      </c>
      <c r="C393" t="s">
        <v>4856</v>
      </c>
      <c r="D393" t="s">
        <v>4882</v>
      </c>
      <c r="E393" t="s">
        <v>4883</v>
      </c>
      <c r="F393" t="s">
        <v>3786</v>
      </c>
      <c r="G393" t="s">
        <v>4884</v>
      </c>
    </row>
    <row r="394" spans="1:7" ht="11.25" customHeight="1">
      <c r="A394" t="s">
        <v>14</v>
      </c>
      <c r="B394" t="s">
        <v>4885</v>
      </c>
      <c r="C394" t="s">
        <v>4886</v>
      </c>
      <c r="D394" t="s">
        <v>4885</v>
      </c>
      <c r="E394" t="s">
        <v>4886</v>
      </c>
      <c r="F394" t="s">
        <v>3780</v>
      </c>
      <c r="G394" t="s">
        <v>4887</v>
      </c>
    </row>
    <row r="395" spans="1:7" ht="11.25" customHeight="1">
      <c r="A395" t="s">
        <v>14</v>
      </c>
      <c r="B395" t="s">
        <v>4888</v>
      </c>
      <c r="C395" t="s">
        <v>4889</v>
      </c>
      <c r="D395" t="s">
        <v>4890</v>
      </c>
      <c r="E395" t="s">
        <v>4891</v>
      </c>
      <c r="F395" t="s">
        <v>3786</v>
      </c>
      <c r="G395" t="s">
        <v>4892</v>
      </c>
    </row>
    <row r="396" spans="1:7" ht="11.25" customHeight="1">
      <c r="A396" t="s">
        <v>14</v>
      </c>
      <c r="B396" t="s">
        <v>4888</v>
      </c>
      <c r="C396" t="s">
        <v>4889</v>
      </c>
      <c r="D396" t="s">
        <v>4893</v>
      </c>
      <c r="E396" t="s">
        <v>4894</v>
      </c>
      <c r="F396" t="s">
        <v>3786</v>
      </c>
      <c r="G396" t="s">
        <v>4895</v>
      </c>
    </row>
    <row r="397" spans="1:7" ht="11.25" customHeight="1">
      <c r="A397" t="s">
        <v>14</v>
      </c>
      <c r="B397" t="s">
        <v>4888</v>
      </c>
      <c r="C397" t="s">
        <v>4889</v>
      </c>
      <c r="D397" t="s">
        <v>4896</v>
      </c>
      <c r="E397" t="s">
        <v>4897</v>
      </c>
      <c r="F397" t="s">
        <v>3786</v>
      </c>
      <c r="G397" t="s">
        <v>4898</v>
      </c>
    </row>
    <row r="398" spans="1:7" ht="11.25" customHeight="1">
      <c r="A398" t="s">
        <v>14</v>
      </c>
      <c r="B398" t="s">
        <v>4888</v>
      </c>
      <c r="C398" t="s">
        <v>4889</v>
      </c>
      <c r="D398" t="s">
        <v>4842</v>
      </c>
      <c r="E398" t="s">
        <v>4899</v>
      </c>
      <c r="F398" t="s">
        <v>3786</v>
      </c>
      <c r="G398" t="s">
        <v>4900</v>
      </c>
    </row>
    <row r="399" spans="1:7" ht="11.25" customHeight="1">
      <c r="A399" t="s">
        <v>14</v>
      </c>
      <c r="B399" t="s">
        <v>4888</v>
      </c>
      <c r="C399" t="s">
        <v>4889</v>
      </c>
      <c r="D399" t="s">
        <v>4334</v>
      </c>
      <c r="E399" t="s">
        <v>4901</v>
      </c>
      <c r="F399" t="s">
        <v>3786</v>
      </c>
      <c r="G399" t="s">
        <v>4902</v>
      </c>
    </row>
    <row r="400" spans="1:7" ht="11.25" customHeight="1">
      <c r="A400" t="s">
        <v>14</v>
      </c>
      <c r="B400" t="s">
        <v>4888</v>
      </c>
      <c r="C400" t="s">
        <v>4889</v>
      </c>
      <c r="D400" t="s">
        <v>4903</v>
      </c>
      <c r="E400" t="s">
        <v>4904</v>
      </c>
      <c r="F400" t="s">
        <v>3838</v>
      </c>
      <c r="G400" t="s">
        <v>4905</v>
      </c>
    </row>
    <row r="401" spans="1:7" ht="11.25" customHeight="1">
      <c r="A401" t="s">
        <v>14</v>
      </c>
      <c r="B401" t="s">
        <v>4888</v>
      </c>
      <c r="C401" t="s">
        <v>4889</v>
      </c>
      <c r="D401" t="s">
        <v>4906</v>
      </c>
      <c r="E401" t="s">
        <v>4907</v>
      </c>
      <c r="F401" t="s">
        <v>3786</v>
      </c>
      <c r="G401" t="s">
        <v>4908</v>
      </c>
    </row>
    <row r="402" spans="1:7" ht="11.25" customHeight="1">
      <c r="A402" t="s">
        <v>14</v>
      </c>
      <c r="B402" t="s">
        <v>4888</v>
      </c>
      <c r="C402" t="s">
        <v>4889</v>
      </c>
      <c r="D402" t="s">
        <v>4909</v>
      </c>
      <c r="E402" t="s">
        <v>4910</v>
      </c>
      <c r="F402" t="s">
        <v>3786</v>
      </c>
      <c r="G402" t="s">
        <v>4911</v>
      </c>
    </row>
    <row r="403" spans="1:7" ht="11.25" customHeight="1">
      <c r="A403" t="s">
        <v>14</v>
      </c>
      <c r="B403" t="s">
        <v>4888</v>
      </c>
      <c r="C403" t="s">
        <v>4889</v>
      </c>
      <c r="D403" t="s">
        <v>4109</v>
      </c>
      <c r="E403" t="s">
        <v>4912</v>
      </c>
      <c r="F403" t="s">
        <v>3786</v>
      </c>
      <c r="G403" t="s">
        <v>4913</v>
      </c>
    </row>
    <row r="404" spans="1:7" ht="11.25" customHeight="1">
      <c r="A404" t="s">
        <v>14</v>
      </c>
      <c r="B404" t="s">
        <v>4888</v>
      </c>
      <c r="C404" t="s">
        <v>4889</v>
      </c>
      <c r="D404" t="s">
        <v>4914</v>
      </c>
      <c r="E404" t="s">
        <v>4915</v>
      </c>
      <c r="F404" t="s">
        <v>3786</v>
      </c>
      <c r="G404" t="s">
        <v>4916</v>
      </c>
    </row>
    <row r="405" spans="1:7" ht="11.25" customHeight="1">
      <c r="A405" t="s">
        <v>14</v>
      </c>
      <c r="B405" t="s">
        <v>4888</v>
      </c>
      <c r="C405" t="s">
        <v>4889</v>
      </c>
      <c r="D405" t="s">
        <v>4917</v>
      </c>
      <c r="E405" t="s">
        <v>4918</v>
      </c>
      <c r="F405" t="s">
        <v>3786</v>
      </c>
      <c r="G405" t="s">
        <v>4919</v>
      </c>
    </row>
    <row r="406" spans="1:7" ht="11.25" customHeight="1">
      <c r="A406" t="s">
        <v>14</v>
      </c>
      <c r="B406" t="s">
        <v>4888</v>
      </c>
      <c r="C406" t="s">
        <v>4889</v>
      </c>
      <c r="D406" t="s">
        <v>4920</v>
      </c>
      <c r="E406" t="s">
        <v>4921</v>
      </c>
      <c r="F406" t="s">
        <v>3793</v>
      </c>
      <c r="G406" t="s">
        <v>4922</v>
      </c>
    </row>
    <row r="407" spans="1:7" ht="11.25" customHeight="1">
      <c r="A407" t="s">
        <v>14</v>
      </c>
      <c r="B407" t="s">
        <v>4888</v>
      </c>
      <c r="C407" t="s">
        <v>4889</v>
      </c>
      <c r="D407" t="s">
        <v>4404</v>
      </c>
      <c r="E407" t="s">
        <v>4923</v>
      </c>
      <c r="F407" t="s">
        <v>3786</v>
      </c>
      <c r="G407" t="s">
        <v>4924</v>
      </c>
    </row>
    <row r="408" spans="1:7" ht="11.25" customHeight="1">
      <c r="A408" t="s">
        <v>14</v>
      </c>
      <c r="B408" t="s">
        <v>4888</v>
      </c>
      <c r="C408" t="s">
        <v>4889</v>
      </c>
      <c r="D408" t="s">
        <v>4925</v>
      </c>
      <c r="E408" t="s">
        <v>4926</v>
      </c>
      <c r="F408" t="s">
        <v>3786</v>
      </c>
      <c r="G408" t="s">
        <v>4927</v>
      </c>
    </row>
    <row r="409" spans="1:7" ht="11.25" customHeight="1">
      <c r="A409" t="s">
        <v>14</v>
      </c>
      <c r="B409" t="s">
        <v>4888</v>
      </c>
      <c r="C409" t="s">
        <v>4889</v>
      </c>
      <c r="D409" t="s">
        <v>4888</v>
      </c>
      <c r="E409" t="s">
        <v>4889</v>
      </c>
      <c r="F409" t="s">
        <v>3783</v>
      </c>
      <c r="G409" t="s">
        <v>4928</v>
      </c>
    </row>
    <row r="410" spans="1:7" ht="11.25" customHeight="1">
      <c r="A410" t="s">
        <v>14</v>
      </c>
      <c r="B410" t="s">
        <v>4888</v>
      </c>
      <c r="C410" t="s">
        <v>4889</v>
      </c>
      <c r="D410" t="s">
        <v>4929</v>
      </c>
      <c r="E410" t="s">
        <v>4930</v>
      </c>
      <c r="F410" t="s">
        <v>3786</v>
      </c>
      <c r="G410" t="s">
        <v>4931</v>
      </c>
    </row>
    <row r="411" spans="1:7" ht="11.25" customHeight="1">
      <c r="A411" t="s">
        <v>14</v>
      </c>
      <c r="B411" t="s">
        <v>4932</v>
      </c>
      <c r="C411" t="s">
        <v>4933</v>
      </c>
      <c r="D411" t="s">
        <v>4934</v>
      </c>
      <c r="E411" t="s">
        <v>4935</v>
      </c>
      <c r="F411" t="s">
        <v>3786</v>
      </c>
      <c r="G411" t="s">
        <v>4936</v>
      </c>
    </row>
    <row r="412" spans="1:7" ht="11.25" customHeight="1">
      <c r="A412" t="s">
        <v>14</v>
      </c>
      <c r="B412" t="s">
        <v>4932</v>
      </c>
      <c r="C412" t="s">
        <v>4933</v>
      </c>
      <c r="D412" t="s">
        <v>4937</v>
      </c>
      <c r="E412" t="s">
        <v>4938</v>
      </c>
      <c r="F412" t="s">
        <v>3786</v>
      </c>
      <c r="G412" t="s">
        <v>4939</v>
      </c>
    </row>
    <row r="413" spans="1:7" ht="11.25" customHeight="1">
      <c r="A413" t="s">
        <v>14</v>
      </c>
      <c r="B413" t="s">
        <v>4932</v>
      </c>
      <c r="C413" t="s">
        <v>4933</v>
      </c>
      <c r="D413" t="s">
        <v>4940</v>
      </c>
      <c r="E413" t="s">
        <v>4941</v>
      </c>
      <c r="F413" t="s">
        <v>3838</v>
      </c>
      <c r="G413" t="s">
        <v>4942</v>
      </c>
    </row>
    <row r="414" spans="1:7" ht="11.25" customHeight="1">
      <c r="A414" t="s">
        <v>14</v>
      </c>
      <c r="B414" t="s">
        <v>4932</v>
      </c>
      <c r="C414" t="s">
        <v>4933</v>
      </c>
      <c r="D414" t="s">
        <v>4943</v>
      </c>
      <c r="E414" t="s">
        <v>4944</v>
      </c>
      <c r="F414" t="s">
        <v>3786</v>
      </c>
      <c r="G414" t="s">
        <v>4945</v>
      </c>
    </row>
    <row r="415" spans="1:7" ht="11.25" customHeight="1">
      <c r="A415" t="s">
        <v>14</v>
      </c>
      <c r="B415" t="s">
        <v>4932</v>
      </c>
      <c r="C415" t="s">
        <v>4933</v>
      </c>
      <c r="D415" t="s">
        <v>4946</v>
      </c>
      <c r="E415" t="s">
        <v>4947</v>
      </c>
      <c r="F415" t="s">
        <v>3786</v>
      </c>
      <c r="G415" t="s">
        <v>4948</v>
      </c>
    </row>
    <row r="416" spans="1:7" ht="11.25" customHeight="1">
      <c r="A416" t="s">
        <v>14</v>
      </c>
      <c r="B416" t="s">
        <v>4932</v>
      </c>
      <c r="C416" t="s">
        <v>4933</v>
      </c>
      <c r="D416" t="s">
        <v>4949</v>
      </c>
      <c r="E416" t="s">
        <v>4950</v>
      </c>
      <c r="F416" t="s">
        <v>3786</v>
      </c>
      <c r="G416" t="s">
        <v>4951</v>
      </c>
    </row>
    <row r="417" spans="1:7" ht="11.25" customHeight="1">
      <c r="A417" t="s">
        <v>14</v>
      </c>
      <c r="B417" t="s">
        <v>4932</v>
      </c>
      <c r="C417" t="s">
        <v>4933</v>
      </c>
      <c r="D417" t="s">
        <v>4952</v>
      </c>
      <c r="E417" t="s">
        <v>4953</v>
      </c>
      <c r="F417" t="s">
        <v>3786</v>
      </c>
      <c r="G417" t="s">
        <v>4954</v>
      </c>
    </row>
    <row r="418" spans="1:7" ht="11.25" customHeight="1">
      <c r="A418" t="s">
        <v>14</v>
      </c>
      <c r="B418" t="s">
        <v>4932</v>
      </c>
      <c r="C418" t="s">
        <v>4933</v>
      </c>
      <c r="D418" t="s">
        <v>4955</v>
      </c>
      <c r="E418" t="s">
        <v>4956</v>
      </c>
      <c r="F418" t="s">
        <v>3786</v>
      </c>
      <c r="G418" t="s">
        <v>4957</v>
      </c>
    </row>
    <row r="419" spans="1:7" ht="11.25" customHeight="1">
      <c r="A419" t="s">
        <v>14</v>
      </c>
      <c r="B419" t="s">
        <v>4932</v>
      </c>
      <c r="C419" t="s">
        <v>4933</v>
      </c>
      <c r="D419" t="s">
        <v>4958</v>
      </c>
      <c r="E419" t="s">
        <v>4959</v>
      </c>
      <c r="F419" t="s">
        <v>3786</v>
      </c>
      <c r="G419" t="s">
        <v>4960</v>
      </c>
    </row>
    <row r="420" spans="1:7" ht="11.25" customHeight="1">
      <c r="A420" t="s">
        <v>14</v>
      </c>
      <c r="B420" t="s">
        <v>4932</v>
      </c>
      <c r="C420" t="s">
        <v>4933</v>
      </c>
      <c r="D420" t="s">
        <v>4932</v>
      </c>
      <c r="E420" t="s">
        <v>4933</v>
      </c>
      <c r="F420" t="s">
        <v>3783</v>
      </c>
      <c r="G420" t="s">
        <v>4961</v>
      </c>
    </row>
    <row r="421" spans="1:7" ht="11.25" customHeight="1">
      <c r="A421" t="s">
        <v>14</v>
      </c>
      <c r="B421" t="s">
        <v>4962</v>
      </c>
      <c r="C421" t="s">
        <v>4963</v>
      </c>
      <c r="D421" t="s">
        <v>4962</v>
      </c>
      <c r="E421" t="s">
        <v>4963</v>
      </c>
      <c r="F421" t="s">
        <v>3780</v>
      </c>
      <c r="G421" t="s">
        <v>4964</v>
      </c>
    </row>
    <row r="422" spans="1:7" ht="11.25" customHeight="1">
      <c r="A422" t="s">
        <v>14</v>
      </c>
      <c r="B422" t="s">
        <v>4965</v>
      </c>
      <c r="C422" t="s">
        <v>4966</v>
      </c>
      <c r="D422" t="s">
        <v>4967</v>
      </c>
      <c r="E422" t="s">
        <v>4968</v>
      </c>
      <c r="F422" t="s">
        <v>3786</v>
      </c>
      <c r="G422" t="s">
        <v>4969</v>
      </c>
    </row>
    <row r="423" spans="1:7" ht="11.25" customHeight="1">
      <c r="A423" t="s">
        <v>14</v>
      </c>
      <c r="B423" t="s">
        <v>4965</v>
      </c>
      <c r="C423" t="s">
        <v>4966</v>
      </c>
      <c r="D423" t="s">
        <v>4970</v>
      </c>
      <c r="E423" t="s">
        <v>4971</v>
      </c>
      <c r="F423" t="s">
        <v>3786</v>
      </c>
      <c r="G423" t="s">
        <v>4972</v>
      </c>
    </row>
    <row r="424" spans="1:7" ht="11.25" customHeight="1">
      <c r="A424" t="s">
        <v>14</v>
      </c>
      <c r="B424" t="s">
        <v>4965</v>
      </c>
      <c r="C424" t="s">
        <v>4966</v>
      </c>
      <c r="D424" t="s">
        <v>4973</v>
      </c>
      <c r="E424" t="s">
        <v>4974</v>
      </c>
      <c r="F424" t="s">
        <v>3786</v>
      </c>
      <c r="G424" t="s">
        <v>4975</v>
      </c>
    </row>
    <row r="425" spans="1:7" ht="11.25" customHeight="1">
      <c r="A425" t="s">
        <v>14</v>
      </c>
      <c r="B425" t="s">
        <v>4965</v>
      </c>
      <c r="C425" t="s">
        <v>4966</v>
      </c>
      <c r="D425" t="s">
        <v>4976</v>
      </c>
      <c r="E425" t="s">
        <v>4977</v>
      </c>
      <c r="F425" t="s">
        <v>3793</v>
      </c>
      <c r="G425" t="s">
        <v>4978</v>
      </c>
    </row>
    <row r="426" spans="1:7" ht="11.25" customHeight="1">
      <c r="A426" t="s">
        <v>14</v>
      </c>
      <c r="B426" t="s">
        <v>4965</v>
      </c>
      <c r="C426" t="s">
        <v>4966</v>
      </c>
      <c r="D426" t="s">
        <v>4979</v>
      </c>
      <c r="E426" t="s">
        <v>4980</v>
      </c>
      <c r="F426" t="s">
        <v>3786</v>
      </c>
      <c r="G426" t="s">
        <v>4981</v>
      </c>
    </row>
    <row r="427" spans="1:7" ht="11.25" customHeight="1">
      <c r="A427" t="s">
        <v>14</v>
      </c>
      <c r="B427" t="s">
        <v>4965</v>
      </c>
      <c r="C427" t="s">
        <v>4966</v>
      </c>
      <c r="D427" t="s">
        <v>4982</v>
      </c>
      <c r="E427" t="s">
        <v>4983</v>
      </c>
      <c r="F427" t="s">
        <v>3786</v>
      </c>
      <c r="G427" t="s">
        <v>4984</v>
      </c>
    </row>
    <row r="428" spans="1:7" ht="11.25" customHeight="1">
      <c r="A428" t="s">
        <v>14</v>
      </c>
      <c r="B428" t="s">
        <v>4965</v>
      </c>
      <c r="C428" t="s">
        <v>4966</v>
      </c>
      <c r="D428" t="s">
        <v>4985</v>
      </c>
      <c r="E428" t="s">
        <v>4986</v>
      </c>
      <c r="F428" t="s">
        <v>3786</v>
      </c>
      <c r="G428" t="s">
        <v>4987</v>
      </c>
    </row>
    <row r="429" spans="1:7" ht="11.25" customHeight="1">
      <c r="A429" t="s">
        <v>14</v>
      </c>
      <c r="B429" t="s">
        <v>4965</v>
      </c>
      <c r="C429" t="s">
        <v>4966</v>
      </c>
      <c r="D429" t="s">
        <v>4965</v>
      </c>
      <c r="E429" t="s">
        <v>4966</v>
      </c>
      <c r="F429" t="s">
        <v>3783</v>
      </c>
      <c r="G429" t="s">
        <v>4988</v>
      </c>
    </row>
    <row r="430" spans="1:7" ht="11.25" customHeight="1">
      <c r="A430" t="s">
        <v>14</v>
      </c>
      <c r="B430" t="s">
        <v>4965</v>
      </c>
      <c r="C430" t="s">
        <v>4966</v>
      </c>
      <c r="D430" t="s">
        <v>4989</v>
      </c>
      <c r="E430" t="s">
        <v>4990</v>
      </c>
      <c r="F430" t="s">
        <v>3786</v>
      </c>
      <c r="G430" t="s">
        <v>4991</v>
      </c>
    </row>
    <row r="431" spans="1:7" ht="11.25" customHeight="1">
      <c r="A431" t="s">
        <v>14</v>
      </c>
      <c r="B431" t="s">
        <v>4992</v>
      </c>
      <c r="C431" t="s">
        <v>4993</v>
      </c>
      <c r="D431" t="s">
        <v>4992</v>
      </c>
      <c r="E431" t="s">
        <v>4993</v>
      </c>
      <c r="F431" t="s">
        <v>3780</v>
      </c>
      <c r="G431" t="s">
        <v>4994</v>
      </c>
    </row>
    <row r="432" spans="1:7" ht="11.25" customHeight="1">
      <c r="A432" t="s">
        <v>14</v>
      </c>
      <c r="B432" t="s">
        <v>4995</v>
      </c>
      <c r="C432" t="s">
        <v>4996</v>
      </c>
      <c r="D432" t="s">
        <v>4997</v>
      </c>
      <c r="E432" t="s">
        <v>4998</v>
      </c>
      <c r="F432" t="s">
        <v>3786</v>
      </c>
      <c r="G432" t="s">
        <v>4999</v>
      </c>
    </row>
    <row r="433" spans="1:7" ht="11.25" customHeight="1">
      <c r="A433" t="s">
        <v>14</v>
      </c>
      <c r="B433" t="s">
        <v>4995</v>
      </c>
      <c r="C433" t="s">
        <v>4996</v>
      </c>
      <c r="D433" t="s">
        <v>5000</v>
      </c>
      <c r="E433" t="s">
        <v>5001</v>
      </c>
      <c r="F433" t="s">
        <v>3786</v>
      </c>
      <c r="G433" t="s">
        <v>5002</v>
      </c>
    </row>
    <row r="434" spans="1:7" ht="11.25" customHeight="1">
      <c r="A434" t="s">
        <v>14</v>
      </c>
      <c r="B434" t="s">
        <v>4995</v>
      </c>
      <c r="C434" t="s">
        <v>4996</v>
      </c>
      <c r="D434" t="s">
        <v>5003</v>
      </c>
      <c r="E434" t="s">
        <v>5004</v>
      </c>
      <c r="F434" t="s">
        <v>3786</v>
      </c>
      <c r="G434" t="s">
        <v>5005</v>
      </c>
    </row>
    <row r="435" spans="1:7" ht="11.25" customHeight="1">
      <c r="A435" t="s">
        <v>14</v>
      </c>
      <c r="B435" t="s">
        <v>4995</v>
      </c>
      <c r="C435" t="s">
        <v>4996</v>
      </c>
      <c r="D435" t="s">
        <v>5006</v>
      </c>
      <c r="E435" t="s">
        <v>5007</v>
      </c>
      <c r="F435" t="s">
        <v>3786</v>
      </c>
      <c r="G435" t="s">
        <v>5008</v>
      </c>
    </row>
    <row r="436" spans="1:7" ht="11.25" customHeight="1">
      <c r="A436" t="s">
        <v>14</v>
      </c>
      <c r="B436" t="s">
        <v>4995</v>
      </c>
      <c r="C436" t="s">
        <v>4996</v>
      </c>
      <c r="D436" t="s">
        <v>5009</v>
      </c>
      <c r="E436" t="s">
        <v>5010</v>
      </c>
      <c r="F436" t="s">
        <v>3793</v>
      </c>
      <c r="G436" t="s">
        <v>5011</v>
      </c>
    </row>
    <row r="437" spans="1:7" ht="11.25" customHeight="1">
      <c r="A437" t="s">
        <v>14</v>
      </c>
      <c r="B437" t="s">
        <v>4995</v>
      </c>
      <c r="C437" t="s">
        <v>4996</v>
      </c>
      <c r="D437" t="s">
        <v>5012</v>
      </c>
      <c r="E437" t="s">
        <v>5013</v>
      </c>
      <c r="F437" t="s">
        <v>3793</v>
      </c>
      <c r="G437" t="s">
        <v>5014</v>
      </c>
    </row>
    <row r="438" spans="1:7" ht="11.25" customHeight="1">
      <c r="A438" t="s">
        <v>14</v>
      </c>
      <c r="B438" t="s">
        <v>4995</v>
      </c>
      <c r="C438" t="s">
        <v>4996</v>
      </c>
      <c r="D438" t="s">
        <v>5015</v>
      </c>
      <c r="E438" t="s">
        <v>5016</v>
      </c>
      <c r="F438" t="s">
        <v>3786</v>
      </c>
      <c r="G438" t="s">
        <v>5017</v>
      </c>
    </row>
    <row r="439" spans="1:7" ht="11.25" customHeight="1">
      <c r="A439" t="s">
        <v>14</v>
      </c>
      <c r="B439" t="s">
        <v>4995</v>
      </c>
      <c r="C439" t="s">
        <v>4996</v>
      </c>
      <c r="D439" t="s">
        <v>5018</v>
      </c>
      <c r="E439" t="s">
        <v>5019</v>
      </c>
      <c r="F439" t="s">
        <v>3786</v>
      </c>
      <c r="G439" t="s">
        <v>5020</v>
      </c>
    </row>
    <row r="440" spans="1:7" ht="11.25" customHeight="1">
      <c r="A440" t="s">
        <v>14</v>
      </c>
      <c r="B440" t="s">
        <v>4995</v>
      </c>
      <c r="C440" t="s">
        <v>4996</v>
      </c>
      <c r="D440" t="s">
        <v>5021</v>
      </c>
      <c r="E440" t="s">
        <v>5022</v>
      </c>
      <c r="F440" t="s">
        <v>3786</v>
      </c>
      <c r="G440" t="s">
        <v>5023</v>
      </c>
    </row>
    <row r="441" spans="1:7" ht="11.25" customHeight="1">
      <c r="A441" t="s">
        <v>14</v>
      </c>
      <c r="B441" t="s">
        <v>4995</v>
      </c>
      <c r="C441" t="s">
        <v>4996</v>
      </c>
      <c r="D441" t="s">
        <v>5024</v>
      </c>
      <c r="E441" t="s">
        <v>5025</v>
      </c>
      <c r="F441" t="s">
        <v>3786</v>
      </c>
      <c r="G441" t="s">
        <v>5026</v>
      </c>
    </row>
    <row r="442" spans="1:7" ht="11.25" customHeight="1">
      <c r="A442" t="s">
        <v>14</v>
      </c>
      <c r="B442" t="s">
        <v>4995</v>
      </c>
      <c r="C442" t="s">
        <v>4996</v>
      </c>
      <c r="D442" t="s">
        <v>5027</v>
      </c>
      <c r="E442" t="s">
        <v>5028</v>
      </c>
      <c r="F442" t="s">
        <v>3786</v>
      </c>
      <c r="G442" t="s">
        <v>5029</v>
      </c>
    </row>
    <row r="443" spans="1:7" ht="11.25" customHeight="1">
      <c r="A443" t="s">
        <v>14</v>
      </c>
      <c r="B443" t="s">
        <v>4995</v>
      </c>
      <c r="C443" t="s">
        <v>4996</v>
      </c>
      <c r="D443" t="s">
        <v>4995</v>
      </c>
      <c r="E443" t="s">
        <v>4996</v>
      </c>
      <c r="F443" t="s">
        <v>3783</v>
      </c>
      <c r="G443" t="s">
        <v>5030</v>
      </c>
    </row>
    <row r="444" spans="1:7" ht="11.25" customHeight="1">
      <c r="A444" t="s">
        <v>14</v>
      </c>
      <c r="B444" t="s">
        <v>5031</v>
      </c>
      <c r="C444" t="s">
        <v>5032</v>
      </c>
      <c r="D444" t="s">
        <v>5031</v>
      </c>
      <c r="E444" t="s">
        <v>5032</v>
      </c>
      <c r="F444" t="s">
        <v>4099</v>
      </c>
      <c r="G444" t="s">
        <v>5033</v>
      </c>
    </row>
    <row r="445" spans="1:7" ht="11.25" customHeight="1">
      <c r="A445" t="s">
        <v>14</v>
      </c>
      <c r="B445" t="s">
        <v>5034</v>
      </c>
      <c r="C445" t="s">
        <v>5035</v>
      </c>
      <c r="D445" t="s">
        <v>5034</v>
      </c>
      <c r="E445" t="s">
        <v>5035</v>
      </c>
      <c r="F445" t="s">
        <v>4099</v>
      </c>
      <c r="G445" t="s">
        <v>5036</v>
      </c>
    </row>
    <row r="446" spans="1:7" ht="11.25" customHeight="1">
      <c r="A446" t="s">
        <v>14</v>
      </c>
      <c r="B446" t="s">
        <v>5037</v>
      </c>
      <c r="C446" t="s">
        <v>5038</v>
      </c>
      <c r="D446" t="s">
        <v>5037</v>
      </c>
      <c r="E446" t="s">
        <v>5038</v>
      </c>
      <c r="F446" t="s">
        <v>4099</v>
      </c>
      <c r="G446" t="s">
        <v>5039</v>
      </c>
    </row>
    <row r="447" spans="1:7" ht="11.25" customHeight="1">
      <c r="A447" t="s">
        <v>14</v>
      </c>
      <c r="B447" t="s">
        <v>5040</v>
      </c>
      <c r="C447" t="s">
        <v>5041</v>
      </c>
      <c r="D447" t="s">
        <v>5040</v>
      </c>
      <c r="E447" t="s">
        <v>5041</v>
      </c>
      <c r="F447" t="s">
        <v>4099</v>
      </c>
      <c r="G447" t="s">
        <v>5042</v>
      </c>
    </row>
    <row r="448" spans="1:7" ht="11.25" customHeight="1">
      <c r="A448" t="s">
        <v>14</v>
      </c>
      <c r="B448" t="s">
        <v>5043</v>
      </c>
      <c r="C448" t="s">
        <v>5044</v>
      </c>
      <c r="D448" t="s">
        <v>5043</v>
      </c>
      <c r="E448" t="s">
        <v>5044</v>
      </c>
      <c r="F448" t="s">
        <v>4099</v>
      </c>
      <c r="G448" t="s">
        <v>5045</v>
      </c>
    </row>
    <row r="449" spans="1:7" ht="11.25" customHeight="1">
      <c r="A449" t="s">
        <v>14</v>
      </c>
      <c r="B449" t="s">
        <v>5046</v>
      </c>
      <c r="C449" t="s">
        <v>5047</v>
      </c>
      <c r="D449" t="s">
        <v>5046</v>
      </c>
      <c r="E449" t="s">
        <v>5047</v>
      </c>
      <c r="F449" t="s">
        <v>4099</v>
      </c>
      <c r="G449" t="s">
        <v>5048</v>
      </c>
    </row>
    <row r="450" spans="1:7" ht="11.25" customHeight="1">
      <c r="A450" t="s">
        <v>14</v>
      </c>
      <c r="B450" t="s">
        <v>5049</v>
      </c>
      <c r="C450" t="s">
        <v>5050</v>
      </c>
      <c r="D450" t="s">
        <v>5049</v>
      </c>
      <c r="E450" t="s">
        <v>5050</v>
      </c>
      <c r="F450" t="s">
        <v>4099</v>
      </c>
      <c r="G450" t="s">
        <v>5051</v>
      </c>
    </row>
    <row r="451" spans="1:7" ht="11.25" customHeight="1">
      <c r="A451" t="s">
        <v>14</v>
      </c>
      <c r="B451" t="s">
        <v>5052</v>
      </c>
      <c r="C451" t="s">
        <v>5053</v>
      </c>
      <c r="D451" t="s">
        <v>5052</v>
      </c>
      <c r="E451" t="s">
        <v>5053</v>
      </c>
      <c r="F451" t="s">
        <v>4099</v>
      </c>
      <c r="G451" t="s">
        <v>5054</v>
      </c>
    </row>
    <row r="452" spans="1:7" ht="11.25" customHeight="1">
      <c r="A452" t="s">
        <v>14</v>
      </c>
      <c r="B452" t="s">
        <v>5055</v>
      </c>
      <c r="C452" t="s">
        <v>5056</v>
      </c>
      <c r="D452" t="s">
        <v>5055</v>
      </c>
      <c r="E452" t="s">
        <v>5056</v>
      </c>
      <c r="F452" t="s">
        <v>4099</v>
      </c>
      <c r="G452" t="s">
        <v>5057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623F5B-050B-B1CF-BAE3-5D24E928D08D}">
  <sheetPr>
    <tabColor rgb="FFFFCC99"/>
  </sheetPr>
  <dimension ref="A1:C3"/>
  <sheetViews>
    <sheetView showGridLines="0" workbookViewId="0"/>
  </sheetViews>
  <sheetFormatPr defaultColWidth="9.140625" defaultRowHeight="11.25" customHeight="1"/>
  <cols>
    <col min="1" max="1" width="9.140625" style="40"/>
    <col min="2" max="2" width="84.28515625" style="40" customWidth="1"/>
    <col min="3" max="3" width="9.140625" style="40"/>
  </cols>
  <sheetData>
    <row r="1" spans="1:3" ht="11.25" customHeight="1">
      <c r="A1" s="40" t="s">
        <v>5189</v>
      </c>
      <c r="B1" s="40" t="s">
        <v>5190</v>
      </c>
      <c r="C1" s="40" t="s">
        <v>728</v>
      </c>
    </row>
    <row r="2" spans="1:3" ht="11.25" customHeight="1">
      <c r="A2" s="40">
        <v>4189678</v>
      </c>
      <c r="B2" s="40" t="s">
        <v>5191</v>
      </c>
      <c r="C2" s="40" t="s">
        <v>5192</v>
      </c>
    </row>
    <row r="3" spans="1:3" ht="11.25" customHeight="1">
      <c r="A3" s="40">
        <v>4190415</v>
      </c>
      <c r="B3" s="40" t="s">
        <v>5193</v>
      </c>
      <c r="C3" s="40" t="s">
        <v>5192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C7D4D9-8B41-F6FE-7F44-434E30409312}">
  <sheetPr>
    <tabColor rgb="FFFFCC99"/>
  </sheetPr>
  <dimension ref="A1:E8"/>
  <sheetViews>
    <sheetView showGridLines="0" workbookViewId="0"/>
  </sheetViews>
  <sheetFormatPr defaultColWidth="9.140625" defaultRowHeight="15" customHeight="1"/>
  <cols>
    <col min="1" max="1" width="38.42578125" style="5" customWidth="1"/>
    <col min="2" max="5" width="9.140625" style="5"/>
  </cols>
  <sheetData>
    <row r="1" spans="1:5" ht="15" customHeight="1">
      <c r="A1" s="85" t="s">
        <v>5194</v>
      </c>
      <c r="B1" s="85" t="s">
        <v>5195</v>
      </c>
      <c r="C1" s="85"/>
      <c r="D1" s="85"/>
      <c r="E1" s="85"/>
    </row>
    <row r="2" spans="1:5" ht="15" customHeight="1">
      <c r="A2" s="85"/>
      <c r="B2" s="85"/>
      <c r="C2" s="85"/>
      <c r="D2" s="85"/>
      <c r="E2" s="85"/>
    </row>
    <row r="3" spans="1:5" ht="15" customHeight="1">
      <c r="A3" s="85"/>
      <c r="B3" s="85"/>
      <c r="C3" s="85"/>
      <c r="D3" s="85"/>
      <c r="E3" s="85"/>
    </row>
    <row r="4" spans="1:5" ht="15" customHeight="1">
      <c r="A4" s="85"/>
      <c r="B4" s="85"/>
      <c r="C4" s="85"/>
      <c r="D4" s="85"/>
      <c r="E4" s="85"/>
    </row>
    <row r="5" spans="1:5" ht="15" customHeight="1">
      <c r="A5" s="85"/>
      <c r="B5" s="85"/>
      <c r="C5" s="85"/>
      <c r="D5" s="85"/>
      <c r="E5" s="85"/>
    </row>
    <row r="6" spans="1:5" ht="15" customHeight="1">
      <c r="A6" s="85"/>
      <c r="B6" s="85"/>
      <c r="C6" s="85"/>
      <c r="D6" s="85"/>
      <c r="E6" s="85"/>
    </row>
    <row r="7" spans="1:5" ht="15" customHeight="1">
      <c r="A7" s="85"/>
      <c r="B7" s="85"/>
      <c r="C7" s="85"/>
      <c r="D7" s="85"/>
      <c r="E7" s="85"/>
    </row>
    <row r="8" spans="1:5" ht="15" customHeight="1">
      <c r="A8" s="85"/>
      <c r="B8" s="85"/>
      <c r="C8" s="85"/>
      <c r="D8" s="85"/>
      <c r="E8" s="85"/>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ADCB14-81A1-5987-C83D-C4D579A221AC}">
  <sheetPr>
    <tabColor rgb="FFFFCC99"/>
  </sheetPr>
  <dimension ref="A1:B15"/>
  <sheetViews>
    <sheetView workbookViewId="0"/>
  </sheetViews>
  <sheetFormatPr defaultRowHeight="11.25" customHeight="1"/>
  <sheetData>
    <row r="1" spans="1:2" ht="11.25" customHeight="1">
      <c r="A1" t="s">
        <v>5196</v>
      </c>
      <c r="B1" t="b">
        <v>1</v>
      </c>
    </row>
    <row r="2" spans="1:2" ht="11.25" customHeight="1">
      <c r="A2" t="s">
        <v>5197</v>
      </c>
      <c r="B2" t="b">
        <v>0</v>
      </c>
    </row>
    <row r="3" spans="1:2" ht="11.25" customHeight="1">
      <c r="A3" t="s">
        <v>5198</v>
      </c>
      <c r="B3" t="b">
        <v>1</v>
      </c>
    </row>
    <row r="4" spans="1:2" ht="11.25" customHeight="1">
      <c r="A4" t="s">
        <v>5199</v>
      </c>
      <c r="B4" t="b">
        <v>0</v>
      </c>
    </row>
    <row r="5" spans="1:2" ht="11.25" customHeight="1">
      <c r="A5" t="s">
        <v>5200</v>
      </c>
      <c r="B5" t="b">
        <v>0</v>
      </c>
    </row>
    <row r="6" spans="1:2" ht="11.25" customHeight="1">
      <c r="A6" t="s">
        <v>5201</v>
      </c>
      <c r="B6" t="b">
        <v>0</v>
      </c>
    </row>
    <row r="7" spans="1:2" ht="11.25" customHeight="1">
      <c r="A7" t="s">
        <v>5202</v>
      </c>
      <c r="B7" t="b">
        <v>0</v>
      </c>
    </row>
    <row r="8" spans="1:2" ht="11.25" customHeight="1">
      <c r="A8" t="s">
        <v>5203</v>
      </c>
      <c r="B8" t="b">
        <v>0</v>
      </c>
    </row>
    <row r="9" spans="1:2" ht="11.25" customHeight="1">
      <c r="A9" t="s">
        <v>5204</v>
      </c>
      <c r="B9" t="b">
        <v>0</v>
      </c>
    </row>
    <row r="10" spans="1:2" ht="11.25" customHeight="1">
      <c r="A10" t="s">
        <v>5205</v>
      </c>
      <c r="B10" t="b">
        <v>0</v>
      </c>
    </row>
    <row r="11" spans="1:2" ht="11.25" customHeight="1">
      <c r="A11" t="s">
        <v>5206</v>
      </c>
      <c r="B11" t="b">
        <v>1</v>
      </c>
    </row>
    <row r="12" spans="1:2" ht="11.25" customHeight="1">
      <c r="A12" t="s">
        <v>5207</v>
      </c>
      <c r="B12" t="b">
        <v>0</v>
      </c>
    </row>
    <row r="13" spans="1:2" ht="11.25" customHeight="1">
      <c r="A13" t="s">
        <v>5208</v>
      </c>
      <c r="B13" t="b">
        <v>0</v>
      </c>
    </row>
    <row r="14" spans="1:2" ht="11.25" customHeight="1">
      <c r="A14" t="s">
        <v>5209</v>
      </c>
      <c r="B14" t="b">
        <v>0</v>
      </c>
    </row>
    <row r="15" spans="1:2" ht="11.25" customHeight="1">
      <c r="A15" t="s">
        <v>5210</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755F48-75F3-16D2-6998-F24C9F9183E2}">
  <sheetPr>
    <tabColor rgb="FFFFCC99"/>
  </sheetPr>
  <dimension ref="A1"/>
  <sheetViews>
    <sheetView showGridLines="0" workbookViewId="0"/>
  </sheetViews>
  <sheetFormatPr defaultColWidth="9.140625" defaultRowHeight="12.75" customHeight="1"/>
  <cols>
    <col min="1" max="1" width="9.140625" style="6"/>
  </cols>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96F2CA-8E42-0F4C-AF59-75DFBF6974F9}">
  <sheetPr>
    <tabColor rgb="FFFFCC99"/>
  </sheetPr>
  <dimension ref="A1:B70"/>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8" t="s">
        <v>5211</v>
      </c>
      <c r="B1" s="8" t="s">
        <v>5212</v>
      </c>
    </row>
    <row r="2" spans="1:2" ht="11.25" customHeight="1">
      <c r="A2" t="s">
        <v>5213</v>
      </c>
      <c r="B2" t="s">
        <v>5214</v>
      </c>
    </row>
    <row r="3" spans="1:2" ht="11.25" customHeight="1">
      <c r="A3" t="s">
        <v>5215</v>
      </c>
      <c r="B3" t="s">
        <v>5216</v>
      </c>
    </row>
    <row r="4" spans="1:2" ht="11.25" customHeight="1">
      <c r="A4" t="s">
        <v>5217</v>
      </c>
      <c r="B4" t="s">
        <v>5218</v>
      </c>
    </row>
    <row r="5" spans="1:2" ht="11.25" customHeight="1">
      <c r="A5" t="s">
        <v>5219</v>
      </c>
      <c r="B5" t="s">
        <v>5220</v>
      </c>
    </row>
    <row r="6" spans="1:2" ht="11.25" customHeight="1">
      <c r="A6" t="s">
        <v>5221</v>
      </c>
      <c r="B6" t="s">
        <v>5222</v>
      </c>
    </row>
    <row r="7" spans="1:2" ht="11.25" customHeight="1">
      <c r="A7" t="s">
        <v>5223</v>
      </c>
      <c r="B7" t="s">
        <v>5224</v>
      </c>
    </row>
    <row r="8" spans="1:2" ht="11.25" customHeight="1">
      <c r="A8" t="s">
        <v>5225</v>
      </c>
      <c r="B8" t="s">
        <v>5226</v>
      </c>
    </row>
    <row r="9" spans="1:2" ht="11.25" customHeight="1">
      <c r="A9" t="s">
        <v>5227</v>
      </c>
      <c r="B9" t="s">
        <v>5228</v>
      </c>
    </row>
    <row r="10" spans="1:2" ht="11.25" customHeight="1">
      <c r="A10" t="s">
        <v>5229</v>
      </c>
      <c r="B10" t="s">
        <v>5230</v>
      </c>
    </row>
    <row r="11" spans="1:2" ht="11.25" customHeight="1">
      <c r="A11" t="s">
        <v>5231</v>
      </c>
      <c r="B11" t="s">
        <v>5232</v>
      </c>
    </row>
    <row r="12" spans="1:2" ht="11.25" customHeight="1">
      <c r="A12" t="s">
        <v>5233</v>
      </c>
      <c r="B12" t="s">
        <v>5234</v>
      </c>
    </row>
    <row r="13" spans="1:2" ht="11.25" customHeight="1">
      <c r="A13" t="s">
        <v>5235</v>
      </c>
      <c r="B13" t="s">
        <v>5236</v>
      </c>
    </row>
    <row r="14" spans="1:2" ht="11.25" customHeight="1">
      <c r="A14" t="s">
        <v>5237</v>
      </c>
      <c r="B14" t="s">
        <v>5238</v>
      </c>
    </row>
    <row r="15" spans="1:2" ht="11.25" customHeight="1">
      <c r="A15" t="s">
        <v>5239</v>
      </c>
      <c r="B15" t="s">
        <v>5240</v>
      </c>
    </row>
    <row r="16" spans="1:2" ht="11.25" customHeight="1">
      <c r="A16" t="s">
        <v>5241</v>
      </c>
      <c r="B16" t="s">
        <v>5242</v>
      </c>
    </row>
    <row r="17" spans="1:2" ht="11.25" customHeight="1">
      <c r="A17" t="s">
        <v>5243</v>
      </c>
      <c r="B17" t="s">
        <v>5244</v>
      </c>
    </row>
    <row r="18" spans="1:2" ht="11.25" customHeight="1">
      <c r="A18" t="s">
        <v>5245</v>
      </c>
      <c r="B18" t="s">
        <v>5246</v>
      </c>
    </row>
    <row r="19" spans="1:2" ht="11.25" customHeight="1">
      <c r="A19" t="s">
        <v>5247</v>
      </c>
      <c r="B19" t="s">
        <v>5248</v>
      </c>
    </row>
    <row r="20" spans="1:2" ht="11.25" customHeight="1">
      <c r="A20" t="s">
        <v>5249</v>
      </c>
      <c r="B20" t="s">
        <v>5250</v>
      </c>
    </row>
    <row r="21" spans="1:2" ht="11.25" customHeight="1">
      <c r="A21" t="s">
        <v>5251</v>
      </c>
      <c r="B21" t="s">
        <v>5252</v>
      </c>
    </row>
    <row r="22" spans="1:2" ht="11.25" customHeight="1">
      <c r="A22" t="s">
        <v>5253</v>
      </c>
      <c r="B22" t="s">
        <v>5254</v>
      </c>
    </row>
    <row r="23" spans="1:2" ht="11.25" customHeight="1">
      <c r="A23" t="s">
        <v>5255</v>
      </c>
      <c r="B23" t="s">
        <v>5256</v>
      </c>
    </row>
    <row r="24" spans="1:2" ht="11.25" customHeight="1">
      <c r="A24" t="s">
        <v>5257</v>
      </c>
      <c r="B24" t="s">
        <v>5258</v>
      </c>
    </row>
    <row r="25" spans="1:2" ht="11.25" customHeight="1">
      <c r="A25" t="s">
        <v>5259</v>
      </c>
      <c r="B25" t="s">
        <v>5260</v>
      </c>
    </row>
    <row r="26" spans="1:2" ht="11.25" customHeight="1">
      <c r="A26" t="s">
        <v>5261</v>
      </c>
      <c r="B26" t="s">
        <v>5262</v>
      </c>
    </row>
    <row r="27" spans="1:2" ht="11.25" customHeight="1">
      <c r="A27" t="s">
        <v>5263</v>
      </c>
      <c r="B27" t="s">
        <v>5264</v>
      </c>
    </row>
    <row r="28" spans="1:2" ht="11.25" customHeight="1">
      <c r="A28" t="s">
        <v>5265</v>
      </c>
      <c r="B28" t="s">
        <v>5266</v>
      </c>
    </row>
    <row r="29" spans="1:2" ht="11.25" customHeight="1">
      <c r="A29" t="s">
        <v>5267</v>
      </c>
      <c r="B29" t="s">
        <v>5268</v>
      </c>
    </row>
    <row r="30" spans="1:2" ht="11.25" customHeight="1">
      <c r="A30" t="s">
        <v>5269</v>
      </c>
      <c r="B30" t="s">
        <v>5270</v>
      </c>
    </row>
    <row r="31" spans="1:2" ht="11.25" customHeight="1">
      <c r="A31" t="s">
        <v>5271</v>
      </c>
      <c r="B31" t="s">
        <v>5272</v>
      </c>
    </row>
    <row r="32" spans="1:2" ht="11.25" customHeight="1">
      <c r="A32" t="s">
        <v>5273</v>
      </c>
      <c r="B32" t="s">
        <v>5274</v>
      </c>
    </row>
    <row r="33" spans="1:2" ht="11.25" customHeight="1">
      <c r="A33" t="s">
        <v>5275</v>
      </c>
      <c r="B33" t="s">
        <v>5276</v>
      </c>
    </row>
    <row r="34" spans="1:2" ht="11.25" customHeight="1">
      <c r="A34" t="s">
        <v>5277</v>
      </c>
      <c r="B34" t="s">
        <v>5278</v>
      </c>
    </row>
    <row r="35" spans="1:2" ht="11.25" customHeight="1">
      <c r="A35" t="s">
        <v>5279</v>
      </c>
      <c r="B35" t="s">
        <v>5280</v>
      </c>
    </row>
    <row r="36" spans="1:2" ht="11.25" customHeight="1">
      <c r="A36" t="s">
        <v>5281</v>
      </c>
      <c r="B36" t="s">
        <v>5282</v>
      </c>
    </row>
    <row r="37" spans="1:2" ht="11.25" customHeight="1">
      <c r="A37" t="s">
        <v>5283</v>
      </c>
      <c r="B37" t="s">
        <v>5284</v>
      </c>
    </row>
    <row r="38" spans="1:2" ht="11.25" customHeight="1">
      <c r="A38" t="s">
        <v>5285</v>
      </c>
      <c r="B38" t="s">
        <v>5286</v>
      </c>
    </row>
    <row r="39" spans="1:2" ht="11.25" customHeight="1">
      <c r="A39" t="s">
        <v>5287</v>
      </c>
      <c r="B39" t="s">
        <v>5288</v>
      </c>
    </row>
    <row r="40" spans="1:2" ht="11.25" customHeight="1">
      <c r="A40" t="s">
        <v>5289</v>
      </c>
      <c r="B40" t="s">
        <v>5290</v>
      </c>
    </row>
    <row r="41" spans="1:2" ht="11.25" customHeight="1">
      <c r="A41" t="s">
        <v>5291</v>
      </c>
      <c r="B41" t="s">
        <v>5292</v>
      </c>
    </row>
    <row r="42" spans="1:2" ht="11.25" customHeight="1">
      <c r="A42" t="s">
        <v>5293</v>
      </c>
      <c r="B42" t="s">
        <v>5294</v>
      </c>
    </row>
    <row r="43" spans="1:2" ht="11.25" customHeight="1">
      <c r="A43" t="s">
        <v>5295</v>
      </c>
      <c r="B43" t="s">
        <v>5296</v>
      </c>
    </row>
    <row r="44" spans="1:2" ht="11.25" customHeight="1">
      <c r="A44" t="s">
        <v>5297</v>
      </c>
      <c r="B44" t="s">
        <v>5298</v>
      </c>
    </row>
    <row r="45" spans="1:2" ht="11.25" customHeight="1">
      <c r="A45" t="s">
        <v>5299</v>
      </c>
      <c r="B45" t="s">
        <v>5300</v>
      </c>
    </row>
    <row r="46" spans="1:2" ht="11.25" customHeight="1">
      <c r="A46" t="s">
        <v>5301</v>
      </c>
      <c r="B46" t="s">
        <v>5302</v>
      </c>
    </row>
    <row r="47" spans="1:2" ht="11.25" customHeight="1">
      <c r="A47" t="s">
        <v>5303</v>
      </c>
      <c r="B47" t="s">
        <v>5304</v>
      </c>
    </row>
    <row r="48" spans="1:2" ht="11.25" customHeight="1">
      <c r="A48" t="s">
        <v>5305</v>
      </c>
      <c r="B48" t="s">
        <v>5306</v>
      </c>
    </row>
    <row r="49" spans="1:2" ht="11.25" customHeight="1">
      <c r="A49" t="s">
        <v>5307</v>
      </c>
      <c r="B49" t="s">
        <v>5308</v>
      </c>
    </row>
    <row r="50" spans="1:2" ht="11.25" customHeight="1">
      <c r="A50" t="s">
        <v>5309</v>
      </c>
      <c r="B50" t="s">
        <v>5310</v>
      </c>
    </row>
    <row r="51" spans="1:2" ht="11.25" customHeight="1">
      <c r="A51" t="s">
        <v>5311</v>
      </c>
      <c r="B51" t="s">
        <v>5312</v>
      </c>
    </row>
    <row r="52" spans="1:2" ht="11.25" customHeight="1">
      <c r="A52" t="s">
        <v>5313</v>
      </c>
      <c r="B52" t="s">
        <v>5314</v>
      </c>
    </row>
    <row r="53" spans="1:2" ht="11.25" customHeight="1">
      <c r="A53" t="s">
        <v>5315</v>
      </c>
      <c r="B53" t="s">
        <v>5316</v>
      </c>
    </row>
    <row r="54" spans="1:2" ht="11.25" customHeight="1">
      <c r="A54" t="s">
        <v>5317</v>
      </c>
      <c r="B54" t="s">
        <v>5318</v>
      </c>
    </row>
    <row r="55" spans="1:2" ht="11.25" customHeight="1">
      <c r="A55" t="s">
        <v>5319</v>
      </c>
      <c r="B55" t="s">
        <v>5320</v>
      </c>
    </row>
    <row r="56" spans="1:2" ht="11.25" customHeight="1">
      <c r="A56" t="s">
        <v>5321</v>
      </c>
      <c r="B56" t="s">
        <v>5322</v>
      </c>
    </row>
    <row r="57" spans="1:2" ht="11.25" customHeight="1">
      <c r="A57" t="s">
        <v>5323</v>
      </c>
      <c r="B57" t="s">
        <v>5324</v>
      </c>
    </row>
    <row r="58" spans="1:2" ht="11.25" customHeight="1">
      <c r="A58" t="s">
        <v>5325</v>
      </c>
      <c r="B58" t="s">
        <v>5326</v>
      </c>
    </row>
    <row r="59" spans="1:2" ht="11.25" customHeight="1">
      <c r="A59" t="s">
        <v>5327</v>
      </c>
      <c r="B59" t="s">
        <v>5328</v>
      </c>
    </row>
    <row r="60" spans="1:2" ht="11.25" customHeight="1">
      <c r="A60" t="s">
        <v>5329</v>
      </c>
      <c r="B60" t="s">
        <v>5330</v>
      </c>
    </row>
    <row r="61" spans="1:2" ht="11.25" customHeight="1">
      <c r="B61" t="s">
        <v>5331</v>
      </c>
    </row>
    <row r="62" spans="1:2" ht="11.25" customHeight="1">
      <c r="B62" t="s">
        <v>5332</v>
      </c>
    </row>
    <row r="63" spans="1:2" ht="11.25" customHeight="1">
      <c r="B63" t="s">
        <v>5333</v>
      </c>
    </row>
    <row r="64" spans="1:2" ht="11.25" customHeight="1">
      <c r="B64" t="s">
        <v>5334</v>
      </c>
    </row>
    <row r="65" spans="2:2" ht="11.25" customHeight="1">
      <c r="B65" t="s">
        <v>5335</v>
      </c>
    </row>
    <row r="66" spans="2:2" ht="11.25" customHeight="1">
      <c r="B66" t="s">
        <v>5336</v>
      </c>
    </row>
    <row r="67" spans="2:2" ht="11.25" customHeight="1">
      <c r="B67" t="s">
        <v>5337</v>
      </c>
    </row>
    <row r="68" spans="2:2" ht="11.25" customHeight="1">
      <c r="B68" t="s">
        <v>5338</v>
      </c>
    </row>
    <row r="69" spans="2:2" ht="11.25" customHeight="1">
      <c r="B69" t="s">
        <v>5339</v>
      </c>
    </row>
    <row r="70" spans="2:2" ht="11.25" customHeight="1">
      <c r="B70" t="s">
        <v>5340</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4823B9-4F4A-7E76-1A36-E97C8F10D0B1}">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33" t="s">
        <v>5341</v>
      </c>
    </row>
    <row r="2" spans="2:4" ht="90" customHeight="1">
      <c r="B2" s="34" t="s">
        <v>5342</v>
      </c>
    </row>
    <row r="3" spans="2:4" ht="67.5" customHeight="1">
      <c r="B3" s="34" t="s">
        <v>5343</v>
      </c>
    </row>
    <row r="4" spans="2:4" ht="33.75" customHeight="1">
      <c r="B4" s="34" t="s">
        <v>5344</v>
      </c>
    </row>
    <row r="5" spans="2:4" ht="11.25" customHeight="1">
      <c r="B5" s="34" t="s">
        <v>5345</v>
      </c>
    </row>
    <row r="6" spans="2:4" ht="22.5" customHeight="1">
      <c r="B6" s="34" t="s">
        <v>5346</v>
      </c>
    </row>
    <row r="7" spans="2:4" ht="22.5" customHeight="1">
      <c r="B7" s="34" t="s">
        <v>5347</v>
      </c>
    </row>
    <row r="8" spans="2:4" ht="22.5" customHeight="1">
      <c r="B8" s="34" t="s">
        <v>5348</v>
      </c>
    </row>
    <row r="9" spans="2:4" ht="22.5" customHeight="1">
      <c r="B9" s="34" t="s">
        <v>5349</v>
      </c>
    </row>
    <row r="10" spans="2:4" ht="56.25" customHeight="1">
      <c r="B10" s="34" t="s">
        <v>5350</v>
      </c>
    </row>
    <row r="11" spans="2:4" ht="12.75" customHeight="1">
      <c r="B11" s="82" t="s">
        <v>5351</v>
      </c>
    </row>
    <row r="12" spans="2:4" ht="11.25" customHeight="1">
      <c r="B12" s="33" t="s">
        <v>5352</v>
      </c>
    </row>
    <row r="13" spans="2:4" ht="22.5" customHeight="1">
      <c r="B13" s="34" t="s">
        <v>5353</v>
      </c>
    </row>
    <row r="14" spans="2:4" ht="67.5" customHeight="1">
      <c r="B14" s="34" t="s">
        <v>5354</v>
      </c>
    </row>
    <row r="15" spans="2:4" ht="22.5" customHeight="1">
      <c r="B15" s="34" t="s">
        <v>5355</v>
      </c>
    </row>
    <row r="16" spans="2:4" ht="11.25" customHeight="1">
      <c r="B16" s="33" t="s">
        <v>5356</v>
      </c>
      <c r="D16" s="40"/>
    </row>
    <row r="17" spans="2:2" ht="33.75" customHeight="1">
      <c r="B17" s="34" t="s">
        <v>5357</v>
      </c>
    </row>
    <row r="18" spans="2:2" ht="33.75" customHeight="1">
      <c r="B18" s="34" t="s">
        <v>5358</v>
      </c>
    </row>
    <row r="19" spans="2:2" ht="11.25" customHeight="1">
      <c r="B19" s="34" t="s">
        <v>5359</v>
      </c>
    </row>
    <row r="20" spans="2:2" ht="33.75" customHeight="1">
      <c r="B20" s="34" t="s">
        <v>5360</v>
      </c>
    </row>
    <row r="21" spans="2:2" ht="11.25" customHeight="1">
      <c r="B21" s="33" t="s">
        <v>5361</v>
      </c>
    </row>
    <row r="22" spans="2:2" ht="11.25" customHeight="1">
      <c r="B22" s="34" t="s">
        <v>5362</v>
      </c>
    </row>
    <row r="24" spans="2:2" ht="22.5" customHeight="1">
      <c r="B24" s="84" t="s">
        <v>5363</v>
      </c>
    </row>
    <row r="26" spans="2:2" ht="11.25" customHeight="1">
      <c r="B26" s="33" t="s">
        <v>5364</v>
      </c>
    </row>
    <row r="27" spans="2:2" ht="22.5" customHeight="1">
      <c r="B27" s="83" t="s">
        <v>1461</v>
      </c>
    </row>
    <row r="28" spans="2:2" ht="56.25" customHeight="1">
      <c r="B28" s="83" t="s">
        <v>5365</v>
      </c>
    </row>
    <row r="29" spans="2:2" ht="11.25" customHeight="1">
      <c r="B29" s="120" t="s">
        <v>5366</v>
      </c>
    </row>
    <row r="30" spans="2:2" ht="22.5" customHeight="1">
      <c r="B30" s="83" t="s">
        <v>5367</v>
      </c>
    </row>
    <row r="32" spans="2:2" ht="11.25" customHeight="1">
      <c r="B32" s="106" t="s">
        <v>5368</v>
      </c>
    </row>
    <row r="33" spans="1:2" ht="14.25" customHeight="1">
      <c r="A33" s="107">
        <v>1</v>
      </c>
      <c r="B33" s="108" t="s">
        <v>5369</v>
      </c>
    </row>
    <row r="34" spans="1:2" ht="14.25" customHeight="1">
      <c r="A34" s="107">
        <v>2</v>
      </c>
      <c r="B34" s="108" t="s">
        <v>5370</v>
      </c>
    </row>
    <row r="35" spans="1:2" ht="11.25" customHeight="1">
      <c r="B35" s="106" t="s">
        <v>5371</v>
      </c>
    </row>
    <row r="36" spans="1:2" ht="11.25" customHeight="1">
      <c r="B36" s="108" t="s">
        <v>5372</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6B0107-050B-4D84-9BD3-13BDBF81CF95}">
  <sheetPr>
    <tabColor theme="3" tint="0.59999389629810485"/>
  </sheetPr>
  <dimension ref="A1:U17"/>
  <sheetViews>
    <sheetView showGridLines="0" topLeftCell="C5" zoomScale="90" workbookViewId="0"/>
  </sheetViews>
  <sheetFormatPr defaultColWidth="10.5703125" defaultRowHeight="14.25" customHeight="1"/>
  <cols>
    <col min="1" max="1" width="9.140625" style="54" hidden="1" customWidth="1"/>
    <col min="2" max="2" width="9.140625" style="24" hidden="1" customWidth="1"/>
    <col min="3" max="3" width="3.7109375" style="86" customWidth="1"/>
    <col min="4" max="4" width="5.5703125" style="24" customWidth="1"/>
    <col min="5" max="5" width="38.140625" style="24" customWidth="1"/>
    <col min="6" max="7" width="3.7109375" style="24" customWidth="1"/>
    <col min="8" max="8" width="38.28515625" style="24" customWidth="1"/>
    <col min="9" max="9" width="35.7109375" style="24" customWidth="1"/>
    <col min="10" max="10" width="103.7109375" style="24" customWidth="1"/>
    <col min="11" max="11" width="3.7109375" style="55" customWidth="1"/>
    <col min="12" max="14" width="10.5703125" style="77"/>
    <col min="15" max="15" width="13.7109375" style="77" customWidth="1"/>
    <col min="16" max="16" width="15.42578125" style="77" customWidth="1"/>
    <col min="17" max="17" width="16.28515625" style="77" customWidth="1"/>
    <col min="18" max="21" width="10.5703125" style="77"/>
  </cols>
  <sheetData>
    <row r="1" spans="1:21" ht="14.25" hidden="1" customHeight="1">
      <c r="E1" s="257"/>
      <c r="F1" s="257"/>
      <c r="G1" s="257"/>
      <c r="H1" s="1231" t="s">
        <v>346</v>
      </c>
      <c r="I1" s="1231"/>
    </row>
    <row r="2" spans="1:21" s="24" customFormat="1" ht="14.25" hidden="1" customHeight="1">
      <c r="C2" s="29"/>
      <c r="D2" s="1234" t="s">
        <v>109</v>
      </c>
      <c r="E2" s="1236"/>
      <c r="F2" s="936"/>
      <c r="G2" s="52" t="s">
        <v>109</v>
      </c>
      <c r="H2" s="233"/>
      <c r="I2" s="937"/>
      <c r="L2" s="77"/>
      <c r="M2" s="77"/>
      <c r="N2" s="77"/>
      <c r="O2" s="77" t="s">
        <v>376</v>
      </c>
      <c r="P2" s="77"/>
      <c r="Q2" s="77"/>
      <c r="R2" s="79" t="s">
        <v>375</v>
      </c>
      <c r="S2" s="79" t="s">
        <v>375</v>
      </c>
      <c r="T2" s="77"/>
      <c r="U2" s="77"/>
    </row>
    <row r="3" spans="1:21" s="24" customFormat="1" ht="14.25" hidden="1" customHeight="1">
      <c r="C3" s="29"/>
      <c r="D3" s="1235"/>
      <c r="E3" s="1237"/>
      <c r="F3" s="159"/>
      <c r="G3" s="540"/>
      <c r="H3" s="540" t="s">
        <v>377</v>
      </c>
      <c r="I3" s="192"/>
      <c r="L3" s="77"/>
      <c r="M3" s="77"/>
      <c r="N3" s="77"/>
      <c r="O3" s="77"/>
      <c r="P3" s="77"/>
      <c r="Q3" s="77"/>
      <c r="R3" s="79"/>
      <c r="S3" s="79"/>
      <c r="T3" s="77"/>
      <c r="U3" s="77"/>
    </row>
    <row r="4" spans="1:21" ht="14.25" hidden="1" customHeight="1"/>
    <row r="5" spans="1:21" s="430" customFormat="1" ht="6" customHeight="1">
      <c r="C5" s="431"/>
      <c r="D5" s="432"/>
      <c r="E5" s="432"/>
      <c r="F5" s="432"/>
      <c r="G5" s="432"/>
      <c r="H5" s="432" t="s">
        <v>350</v>
      </c>
      <c r="I5" s="432"/>
      <c r="J5" s="432"/>
      <c r="L5" s="77"/>
      <c r="M5" s="77"/>
      <c r="N5" s="77"/>
      <c r="O5" s="77"/>
      <c r="P5" s="77"/>
      <c r="Q5" s="77"/>
      <c r="R5" s="77"/>
      <c r="S5" s="77"/>
      <c r="T5" s="77"/>
      <c r="U5" s="77"/>
    </row>
    <row r="6" spans="1:21" ht="17.25" customHeight="1">
      <c r="C6" s="29"/>
      <c r="D6" s="1116" t="s">
        <v>378</v>
      </c>
      <c r="E6" s="1117"/>
      <c r="F6" s="1117"/>
      <c r="G6" s="1117"/>
      <c r="H6" s="1117"/>
      <c r="I6" s="1117"/>
      <c r="J6" s="306"/>
      <c r="K6" s="160"/>
    </row>
    <row r="7" spans="1:21" ht="17.25" customHeight="1">
      <c r="C7" s="29"/>
      <c r="D7" s="1228" t="str">
        <f>IF(org=0,"Не определено",org)</f>
        <v>ООО "ТЕПЛО ПЛЮС"</v>
      </c>
      <c r="E7" s="1229"/>
      <c r="F7" s="1229"/>
      <c r="G7" s="1229"/>
      <c r="H7" s="1229"/>
      <c r="I7" s="1229"/>
      <c r="J7" s="306"/>
      <c r="K7" s="160"/>
    </row>
    <row r="8" spans="1:21" s="298" customFormat="1" ht="6" customHeight="1">
      <c r="A8" s="297"/>
      <c r="C8" s="304"/>
      <c r="D8" s="303"/>
      <c r="E8" s="303"/>
      <c r="F8" s="303"/>
      <c r="G8" s="303"/>
      <c r="H8" s="303"/>
      <c r="I8" s="303"/>
      <c r="J8" s="303"/>
      <c r="L8" s="77"/>
      <c r="M8" s="77"/>
      <c r="N8" s="77"/>
      <c r="O8" s="77"/>
      <c r="P8" s="77"/>
      <c r="Q8" s="77"/>
      <c r="R8" s="77"/>
      <c r="S8" s="77"/>
      <c r="T8" s="77"/>
      <c r="U8" s="77"/>
    </row>
    <row r="9" spans="1:21" s="298" customFormat="1" ht="6" customHeight="1">
      <c r="A9" s="297"/>
      <c r="C9" s="304"/>
      <c r="D9" s="303"/>
      <c r="E9" s="303"/>
      <c r="F9" s="303"/>
      <c r="G9" s="303"/>
      <c r="H9" s="303"/>
      <c r="I9" s="303"/>
      <c r="J9" s="303"/>
      <c r="L9" s="77"/>
      <c r="M9" s="77"/>
      <c r="N9" s="77"/>
      <c r="O9" s="77"/>
      <c r="P9" s="77"/>
      <c r="Q9" s="77"/>
      <c r="R9" s="77"/>
      <c r="S9" s="77"/>
      <c r="T9" s="77"/>
      <c r="U9" s="77"/>
    </row>
    <row r="10" spans="1:21" ht="14.25" customHeight="1">
      <c r="C10" s="29"/>
      <c r="D10" s="1219" t="s">
        <v>292</v>
      </c>
      <c r="E10" s="1232"/>
      <c r="F10" s="1232"/>
      <c r="G10" s="1232"/>
      <c r="H10" s="1232"/>
      <c r="I10" s="1232"/>
      <c r="J10" s="1180" t="s">
        <v>293</v>
      </c>
    </row>
    <row r="11" spans="1:21" ht="25.5" customHeight="1">
      <c r="C11" s="29"/>
      <c r="D11" s="1123" t="s">
        <v>88</v>
      </c>
      <c r="E11" s="1180" t="str">
        <f>IF(TEMPLATE_SPHERE&lt;&gt;"HEAT","Регулируемый вид деятельности","Вид регулируемой деятельности")</f>
        <v>Вид регулируемой деятельности</v>
      </c>
      <c r="F11" s="1183" t="s">
        <v>88</v>
      </c>
      <c r="G11" s="1184"/>
      <c r="H11" s="1182" t="s">
        <v>379</v>
      </c>
      <c r="I11" s="1182" t="s">
        <v>380</v>
      </c>
      <c r="J11" s="1180"/>
    </row>
    <row r="12" spans="1:21" ht="14.25" customHeight="1">
      <c r="C12" s="29"/>
      <c r="D12" s="1123"/>
      <c r="E12" s="1180"/>
      <c r="F12" s="1188"/>
      <c r="G12" s="1189"/>
      <c r="H12" s="1238"/>
      <c r="I12" s="1238"/>
      <c r="J12" s="1180"/>
    </row>
    <row r="13" spans="1:21" s="216" customFormat="1" ht="11.25" customHeight="1">
      <c r="C13" s="311"/>
      <c r="D13" s="312" t="s">
        <v>370</v>
      </c>
      <c r="E13" s="312"/>
      <c r="F13" s="312"/>
      <c r="G13" s="312"/>
      <c r="H13" s="310"/>
      <c r="I13" s="310"/>
      <c r="J13" s="83"/>
      <c r="L13" s="77"/>
      <c r="M13" s="77"/>
      <c r="N13" s="77"/>
      <c r="O13" s="77"/>
      <c r="P13" s="77"/>
      <c r="Q13" s="77"/>
      <c r="R13" s="77"/>
      <c r="S13" s="77"/>
      <c r="T13" s="77"/>
      <c r="U13" s="77"/>
    </row>
    <row r="14" spans="1:21" ht="14.25" customHeight="1">
      <c r="A14" s="24"/>
      <c r="C14" s="29"/>
      <c r="D14" s="1234" t="s">
        <v>109</v>
      </c>
      <c r="E14" s="1236"/>
      <c r="F14" s="936"/>
      <c r="G14" s="52" t="s">
        <v>109</v>
      </c>
      <c r="H14" s="233"/>
      <c r="I14" s="937"/>
      <c r="J14" s="1169" t="s">
        <v>381</v>
      </c>
      <c r="K14" s="24"/>
      <c r="R14" s="79" t="s">
        <v>375</v>
      </c>
      <c r="S14" s="79" t="s">
        <v>375</v>
      </c>
    </row>
    <row r="15" spans="1:21" ht="14.25" customHeight="1">
      <c r="A15" s="24"/>
      <c r="C15" s="29"/>
      <c r="D15" s="1235"/>
      <c r="E15" s="1237"/>
      <c r="F15" s="159"/>
      <c r="G15" s="540"/>
      <c r="H15" s="540" t="s">
        <v>377</v>
      </c>
      <c r="I15" s="192"/>
      <c r="J15" s="1170"/>
      <c r="K15" s="24"/>
      <c r="R15" s="79"/>
      <c r="S15" s="79"/>
    </row>
    <row r="16" spans="1:21" ht="14.25" customHeight="1">
      <c r="A16" s="24"/>
      <c r="C16" s="29"/>
      <c r="D16" s="159"/>
      <c r="E16" s="540" t="s">
        <v>122</v>
      </c>
      <c r="F16" s="192"/>
      <c r="G16" s="192"/>
      <c r="H16" s="254"/>
      <c r="I16" s="254"/>
      <c r="J16" s="1171"/>
      <c r="K16" s="24"/>
    </row>
    <row r="17" spans="11:11" ht="14.25" customHeight="1">
      <c r="K17" s="24"/>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4">
    <dataValidation allowBlank="1" showErrorMessage="1" errorTitle="Ошибка" error="Допускается ввод только неотрицательных чисел!" sqref="E13:G13" xr:uid="{00000000-0002-0000-0800-000000000000}"/>
    <dataValidation type="decimal" allowBlank="1" showErrorMessage="1" errorTitle="Ошибка" error="Допускается ввод только неотрицательных чисел!" sqref="H13:I13" xr:uid="{00000000-0002-0000-0800-000001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2000000}"/>
    <dataValidation type="whole" allowBlank="1" showErrorMessage="1" errorTitle="Ошибка" error="Допускается ввод только неотрицательных целых чисел!" sqref="H14:I14 H2:I2" xr:uid="{00000000-0002-0000-08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86</vt:i4>
      </vt:variant>
      <vt:variant>
        <vt:lpstr>Именованные диапазоны</vt:lpstr>
      </vt:variant>
      <vt:variant>
        <vt:i4>1705</vt:i4>
      </vt:variant>
    </vt:vector>
  </HeadingPairs>
  <TitlesOfParts>
    <vt:vector size="1791"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DATA_FORMS</vt:lpstr>
      <vt:lpstr>DATA_NPA</vt:lpstr>
      <vt:lpstr>TEHSHEET</vt:lpstr>
      <vt:lpstr>et_union_hor</vt:lpstr>
      <vt:lpstr>Договоры</vt:lpstr>
      <vt:lpstr>ТС. Т-ТЭ | &gt;=25МВт</vt:lpstr>
      <vt:lpstr>ТС. Т-ТЭ | ТСО</vt:lpstr>
      <vt:lpstr>ТС. Резерв мощности</vt:lpstr>
      <vt:lpstr>ТС. Т-ТН</vt:lpstr>
      <vt:lpstr>ТС. Т-передача ТЭ</vt:lpstr>
      <vt:lpstr>ТС. Т-передача ТН</vt:lpstr>
      <vt:lpstr>ТС. Т-гор.вода</vt:lpstr>
      <vt:lpstr>ТС. Т-подкл</vt:lpstr>
      <vt:lpstr>Т-ТЭ | потр</vt:lpstr>
      <vt:lpstr>Т-ТЭ | предел</vt:lpstr>
      <vt:lpstr>Т-ТЭ | индикат</vt:lpstr>
      <vt:lpstr>Т-подкл(инд)</vt:lpstr>
      <vt:lpstr>Порядок ТП</vt:lpstr>
      <vt:lpstr>Сведения о закупках</vt:lpstr>
      <vt:lpstr>modMainProcedures</vt:lpstr>
      <vt:lpstr>Потребительские характеристики</vt:lpstr>
      <vt:lpstr>ТП</vt:lpstr>
      <vt:lpstr>Ограничения</vt:lpstr>
      <vt:lpstr>Предложение</vt:lpstr>
      <vt:lpstr>ХВС. Т-пит</vt:lpstr>
      <vt:lpstr>ХВС. Т-тех</vt:lpstr>
      <vt:lpstr>ХВС. Т-транс</vt:lpstr>
      <vt:lpstr>ХВС. Т-подвоз</vt:lpstr>
      <vt:lpstr>ХВС. Т-подкл</vt:lpstr>
      <vt:lpstr>Показатели ФХД</vt:lpstr>
      <vt:lpstr>Показатели ФХД &gt;20%</vt:lpstr>
      <vt:lpstr>ТКО. Показатели ФХД</vt:lpstr>
      <vt:lpstr>ТКО. Транс. Показатели ФХД</vt:lpstr>
      <vt:lpstr>Показатели КНЭ</vt:lpstr>
      <vt:lpstr>ИП</vt:lpstr>
      <vt:lpstr>ИП. Детализация</vt:lpstr>
      <vt:lpstr>ИП. Финансовый план</vt:lpstr>
      <vt:lpstr>ИП. КНЭ</vt:lpstr>
      <vt:lpstr>ГВС. Т-гор.вода</vt:lpstr>
      <vt:lpstr>ГВС. Т-транс</vt:lpstr>
      <vt:lpstr>ГВС. Т-подкл</vt:lpstr>
      <vt:lpstr>ВО. Т-во</vt:lpstr>
      <vt:lpstr>ВО. Т-транс</vt:lpstr>
      <vt:lpstr>ВО. Т-подкл</vt:lpstr>
      <vt:lpstr>modB_FHD</vt:lpstr>
      <vt:lpstr>modB_FHD20</vt:lpstr>
      <vt:lpstr>modB_KNE</vt:lpstr>
      <vt:lpstr>modIP_MAIN</vt:lpstr>
      <vt:lpstr>modIP_QRE</vt:lpstr>
      <vt:lpstr>modIP_DETAILED</vt:lpstr>
      <vt:lpstr>ЭД</vt:lpstr>
      <vt:lpstr>Сведения об изменении</vt:lpstr>
      <vt:lpstr>Орган регулирования</vt:lpstr>
      <vt:lpstr>Перечень организаций</vt:lpstr>
      <vt:lpstr>Дела об установлении тарифов</vt:lpstr>
      <vt:lpstr>Привлечение к ответственности</vt:lpstr>
      <vt:lpstr>Комментарии</vt:lpstr>
      <vt:lpstr>Проверка</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pIns_PT_VTAR_A_HOTVSNA</vt:lpstr>
      <vt:lpstr>pIns_PT_VTAR_A_VOTV</vt:lpstr>
      <vt:lpstr>pIns_PT_VTAR_B</vt:lpstr>
      <vt:lpstr>pIns_PT_VTAR_B_COLDVSNA</vt:lpstr>
      <vt:lpstr>pIns_PT_VTAR_B_HOTVSNA</vt:lpstr>
      <vt:lpstr>pIns_PT_VTAR_B_VOTV</vt:lpstr>
      <vt:lpstr>pIns_PT_VTAR_C</vt:lpstr>
      <vt:lpstr>pIns_PT_VTAR_C_COLDVSNA</vt:lpstr>
      <vt:lpstr>pIns_PT_VTAR_C_HOTVSNA</vt:lpstr>
      <vt:lpstr>pIns_PT_VTAR_C_VOTV</vt:lpstr>
      <vt:lpstr>pIns_PT_VTAR_D</vt:lpstr>
      <vt:lpstr>pIns_PT_VTAR_D_COLDVSNA</vt:lpstr>
      <vt:lpstr>pIns_PT_VTAR_E_COLDVSNA</vt:lpstr>
      <vt:lpstr>pIns_PT_VTAR_E1</vt:lpstr>
      <vt:lpstr>pIns_PT_VTAR_E2</vt:lpstr>
      <vt:lpstr>pIns_PT_VTAR_F</vt:lpstr>
      <vt:lpstr>pIns_PT_VTAR_G</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REESTR_IP_RANGE</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teploplusvadim@gmail.com</cp:lastModifiedBy>
  <cp:lastPrinted>2013-08-29T08:11:20Z</cp:lastPrinted>
  <dcterms:created xsi:type="dcterms:W3CDTF">2004-05-21T07:18:45Z</dcterms:created>
  <dcterms:modified xsi:type="dcterms:W3CDTF">2024-01-31T13:57:21Z</dcterms:modified>
</cp:coreProperties>
</file>